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aniltd-my.sharepoint.com/personal/30105967_adani_com/Documents/1. SPVs/MERC/MEGPTCL/MYT Petition/Final by sir/Revised/For Upload/"/>
    </mc:Choice>
  </mc:AlternateContent>
  <xr:revisionPtr revIDLastSave="458" documentId="8_{8F6FC40E-BB2A-4B17-9373-5AF5F8DA82E0}" xr6:coauthVersionLast="47" xr6:coauthVersionMax="47" xr10:uidLastSave="{F327582B-F201-42FE-9591-D4FCE6FECB8F}"/>
  <bookViews>
    <workbookView xWindow="-120" yWindow="-120" windowWidth="20730" windowHeight="11040" tabRatio="772" xr2:uid="{9B9278ED-296D-4203-8C63-68FA6D91B9FB}"/>
  </bookViews>
  <sheets>
    <sheet name="ARR Comparison" sheetId="2" r:id="rId1"/>
    <sheet name="Depreciation" sheetId="13" r:id="rId2"/>
    <sheet name="Interest on Loan" sheetId="1" r:id="rId3"/>
    <sheet name="IoWC" sheetId="3" r:id="rId4"/>
    <sheet name="ROE" sheetId="12" r:id="rId5"/>
    <sheet name="Income Tax" sheetId="4" r:id="rId6"/>
    <sheet name="Incentive" sheetId="5" r:id="rId7"/>
    <sheet name="Carrying Cost" sheetId="6" r:id="rId8"/>
  </sheets>
  <definedNames>
    <definedName name="_xlnm.Print_Area" localSheetId="0">'ARR Comparison'!$A$1:$K$31</definedName>
    <definedName name="_xlnm.Print_Area" localSheetId="7">'Carrying Cost'!$A$1:$K$20</definedName>
    <definedName name="_xlnm.Print_Area" localSheetId="1">Depreciation!$A$1:$H$11</definedName>
    <definedName name="_xlnm.Print_Area" localSheetId="6">Incentive!$A$1:$D$9</definedName>
    <definedName name="_xlnm.Print_Area" localSheetId="5">'Income Tax'!$A$1:$D$16</definedName>
    <definedName name="_xlnm.Print_Area" localSheetId="2">'Interest on Loan'!$A$1:$H$13</definedName>
    <definedName name="_xlnm.Print_Area" localSheetId="3">IoWC!$A$1:$H$22</definedName>
    <definedName name="_xlnm.Print_Area" localSheetId="4">ROE!$A$1:$H$10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J7" i="6"/>
  <c r="D6" i="13"/>
  <c r="H11" i="13"/>
  <c r="F11" i="13"/>
  <c r="D11" i="13"/>
  <c r="F14" i="6" l="1"/>
  <c r="F12" i="1" l="1"/>
  <c r="D12" i="1"/>
  <c r="G13" i="1"/>
  <c r="E13" i="1"/>
  <c r="C13" i="1"/>
  <c r="G11" i="1"/>
  <c r="E11" i="1"/>
  <c r="C11" i="1"/>
  <c r="H8" i="12" l="1"/>
  <c r="G8" i="12"/>
  <c r="F8" i="12"/>
  <c r="E8" i="12"/>
  <c r="G9" i="12"/>
  <c r="D8" i="12"/>
  <c r="G7" i="12"/>
  <c r="H6" i="12"/>
  <c r="G6" i="12"/>
  <c r="F6" i="12"/>
  <c r="E6" i="12"/>
  <c r="D6" i="12"/>
  <c r="C6" i="12"/>
  <c r="G5" i="12"/>
  <c r="E5" i="12"/>
  <c r="E7" i="12" s="1"/>
  <c r="D5" i="12"/>
  <c r="C5" i="12"/>
  <c r="C7" i="12" s="1"/>
  <c r="J14" i="6"/>
  <c r="I14" i="6"/>
  <c r="H14" i="6"/>
  <c r="G14" i="6"/>
  <c r="E14" i="6"/>
  <c r="D14" i="6"/>
  <c r="D8" i="4"/>
  <c r="C18" i="2"/>
  <c r="H19" i="3"/>
  <c r="F15" i="3"/>
  <c r="D22" i="3"/>
  <c r="C22" i="3"/>
  <c r="D21" i="3"/>
  <c r="C21" i="3"/>
  <c r="D15" i="3"/>
  <c r="C12" i="3"/>
  <c r="G6" i="3"/>
  <c r="G12" i="3" s="1"/>
  <c r="G16" i="3" s="1"/>
  <c r="G20" i="3" s="1"/>
  <c r="G21" i="3" s="1"/>
  <c r="G22" i="3" s="1"/>
  <c r="E6" i="3"/>
  <c r="D6" i="3"/>
  <c r="C6" i="3"/>
  <c r="D5" i="2"/>
  <c r="I13" i="2"/>
  <c r="G7" i="1"/>
  <c r="E7" i="1"/>
  <c r="C7" i="1"/>
  <c r="H6" i="1"/>
  <c r="G6" i="1"/>
  <c r="F6" i="1"/>
  <c r="E6" i="1"/>
  <c r="D6" i="1"/>
  <c r="C6" i="1"/>
  <c r="H9" i="1"/>
  <c r="F9" i="1"/>
  <c r="D9" i="1"/>
  <c r="D5" i="1"/>
  <c r="F6" i="13"/>
  <c r="E5" i="13"/>
  <c r="E8" i="13" s="1"/>
  <c r="G5" i="13" s="1"/>
  <c r="C8" i="13"/>
  <c r="C10" i="13" s="1"/>
  <c r="D7" i="13"/>
  <c r="H6" i="13"/>
  <c r="D5" i="13"/>
  <c r="D8" i="13" s="1"/>
  <c r="F5" i="13" s="1"/>
  <c r="D10" i="4"/>
  <c r="D5" i="4"/>
  <c r="H15" i="3"/>
  <c r="E12" i="3"/>
  <c r="E16" i="3" s="1"/>
  <c r="E20" i="3" s="1"/>
  <c r="E21" i="3" s="1"/>
  <c r="E22" i="3" s="1"/>
  <c r="H7" i="3"/>
  <c r="H5" i="3"/>
  <c r="F7" i="3"/>
  <c r="F5" i="3"/>
  <c r="D7" i="3"/>
  <c r="D5" i="3"/>
  <c r="J14" i="2"/>
  <c r="K14" i="2" s="1"/>
  <c r="J10" i="2"/>
  <c r="K10" i="2" s="1"/>
  <c r="J5" i="2"/>
  <c r="K5" i="2" s="1"/>
  <c r="G14" i="2"/>
  <c r="H14" i="2" s="1"/>
  <c r="G10" i="2"/>
  <c r="H10" i="2" s="1"/>
  <c r="G5" i="2"/>
  <c r="H5" i="2" s="1"/>
  <c r="D14" i="2"/>
  <c r="E14" i="2" s="1"/>
  <c r="D10" i="2"/>
  <c r="E10" i="2" s="1"/>
  <c r="E5" i="2"/>
  <c r="D10" i="13" l="1"/>
  <c r="D9" i="13" s="1"/>
  <c r="F6" i="3"/>
  <c r="F5" i="12"/>
  <c r="D7" i="12"/>
  <c r="F8" i="13"/>
  <c r="H5" i="13" s="1"/>
  <c r="G10" i="12"/>
  <c r="C9" i="12"/>
  <c r="C10" i="12" s="1"/>
  <c r="D9" i="12"/>
  <c r="D10" i="12" s="1"/>
  <c r="E9" i="12"/>
  <c r="E10" i="12" s="1"/>
  <c r="F12" i="3"/>
  <c r="F16" i="3" s="1"/>
  <c r="F20" i="3" s="1"/>
  <c r="F21" i="3" s="1"/>
  <c r="F22" i="3" s="1"/>
  <c r="C8" i="1"/>
  <c r="E5" i="1" s="1"/>
  <c r="E8" i="1" s="1"/>
  <c r="G5" i="1" s="1"/>
  <c r="E10" i="13"/>
  <c r="E11" i="13" s="1"/>
  <c r="G8" i="13"/>
  <c r="G10" i="13" s="1"/>
  <c r="G11" i="13" s="1"/>
  <c r="C11" i="13"/>
  <c r="D12" i="3"/>
  <c r="D16" i="3" s="1"/>
  <c r="D20" i="3" s="1"/>
  <c r="C16" i="3"/>
  <c r="D12" i="2" l="1"/>
  <c r="E12" i="2" s="1"/>
  <c r="F7" i="12"/>
  <c r="F9" i="12" s="1"/>
  <c r="F10" i="12" s="1"/>
  <c r="D7" i="1"/>
  <c r="D8" i="1" s="1"/>
  <c r="F5" i="1" s="1"/>
  <c r="D6" i="2"/>
  <c r="E6" i="2" s="1"/>
  <c r="H6" i="3"/>
  <c r="H12" i="3" s="1"/>
  <c r="H16" i="3" s="1"/>
  <c r="H20" i="3" s="1"/>
  <c r="H21" i="3" s="1"/>
  <c r="H22" i="3" s="1"/>
  <c r="H5" i="12"/>
  <c r="H7" i="12" s="1"/>
  <c r="H9" i="12" s="1"/>
  <c r="H10" i="12" s="1"/>
  <c r="F10" i="13"/>
  <c r="C10" i="1"/>
  <c r="E10" i="1"/>
  <c r="G8" i="1"/>
  <c r="G10" i="1" s="1"/>
  <c r="H8" i="13"/>
  <c r="H10" i="13" s="1"/>
  <c r="C20" i="3"/>
  <c r="G12" i="2" l="1"/>
  <c r="H12" i="2" s="1"/>
  <c r="D10" i="1"/>
  <c r="J12" i="2"/>
  <c r="K12" i="2" s="1"/>
  <c r="J8" i="2"/>
  <c r="K8" i="2" s="1"/>
  <c r="G8" i="2"/>
  <c r="H8" i="2" s="1"/>
  <c r="D8" i="2"/>
  <c r="E8" i="2" s="1"/>
  <c r="I11" i="2"/>
  <c r="I16" i="2" s="1"/>
  <c r="F11" i="2"/>
  <c r="F13" i="2" s="1"/>
  <c r="F16" i="2" s="1"/>
  <c r="C11" i="2"/>
  <c r="C13" i="2" s="1"/>
  <c r="C16" i="2" s="1"/>
  <c r="D11" i="1" l="1"/>
  <c r="D13" i="1" s="1"/>
  <c r="F20" i="2"/>
  <c r="I20" i="2"/>
  <c r="C20" i="2"/>
  <c r="D7" i="2" l="1"/>
  <c r="E7" i="2" s="1"/>
  <c r="C9" i="5"/>
  <c r="C11" i="4" l="1"/>
  <c r="C13" i="4" s="1"/>
  <c r="C15" i="4" s="1"/>
  <c r="H18" i="2" l="1"/>
  <c r="K18" i="2"/>
  <c r="J17" i="6" l="1"/>
  <c r="I17" i="6"/>
  <c r="G17" i="6"/>
  <c r="H17" i="6"/>
  <c r="I18" i="6"/>
  <c r="J18" i="6"/>
  <c r="K18" i="6" l="1"/>
  <c r="K17" i="6"/>
  <c r="H9" i="2"/>
  <c r="K9" i="2"/>
  <c r="G6" i="2"/>
  <c r="H6" i="2" s="1"/>
  <c r="F9" i="13"/>
  <c r="F7" i="1"/>
  <c r="F8" i="1" s="1"/>
  <c r="H5" i="1" l="1"/>
  <c r="F10" i="1"/>
  <c r="F11" i="1" s="1"/>
  <c r="F13" i="1" s="1"/>
  <c r="G7" i="2" l="1"/>
  <c r="H7" i="2" l="1"/>
  <c r="H11" i="2" s="1"/>
  <c r="H13" i="2" s="1"/>
  <c r="H16" i="2" s="1"/>
  <c r="G11" i="2"/>
  <c r="G13" i="2" s="1"/>
  <c r="G16" i="2" s="1"/>
  <c r="C7" i="6" l="1"/>
  <c r="F7" i="6" l="1"/>
  <c r="G7" i="6"/>
  <c r="I7" i="6"/>
  <c r="H7" i="6"/>
  <c r="E7" i="6"/>
  <c r="K7" i="6" l="1"/>
  <c r="G17" i="2" s="1"/>
  <c r="G20" i="2" s="1"/>
  <c r="J6" i="2"/>
  <c r="K6" i="2" s="1"/>
  <c r="H9" i="13"/>
  <c r="H7" i="1"/>
  <c r="H8" i="1" s="1"/>
  <c r="H10" i="1" s="1"/>
  <c r="H11" i="1" s="1"/>
  <c r="H13" i="1" s="1"/>
  <c r="H17" i="2" l="1"/>
  <c r="H20" i="2" s="1"/>
  <c r="J7" i="2"/>
  <c r="J11" i="2" l="1"/>
  <c r="J13" i="2" s="1"/>
  <c r="J16" i="2" s="1"/>
  <c r="K7" i="2"/>
  <c r="K11" i="2" s="1"/>
  <c r="K13" i="2" s="1"/>
  <c r="K16" i="2" s="1"/>
  <c r="C8" i="6" l="1"/>
  <c r="G8" i="6" l="1"/>
  <c r="H8" i="6"/>
  <c r="I8" i="6"/>
  <c r="F8" i="6"/>
  <c r="K8" i="6" s="1"/>
  <c r="J17" i="2" s="1"/>
  <c r="K17" i="2" l="1"/>
  <c r="K20" i="2" s="1"/>
  <c r="J20" i="2"/>
  <c r="D9" i="2"/>
  <c r="E9" i="2"/>
  <c r="D11" i="2"/>
  <c r="E11" i="2"/>
  <c r="D13" i="2"/>
  <c r="E13" i="2"/>
  <c r="D16" i="2"/>
  <c r="E16" i="2"/>
  <c r="D17" i="2"/>
  <c r="E17" i="2"/>
  <c r="D18" i="2"/>
  <c r="E18" i="2"/>
  <c r="D19" i="2"/>
  <c r="E19" i="2"/>
  <c r="D20" i="2"/>
  <c r="E20" i="2"/>
  <c r="C26" i="2"/>
  <c r="C27" i="2"/>
  <c r="C28" i="2"/>
  <c r="C29" i="2"/>
  <c r="C30" i="2"/>
  <c r="C31" i="2"/>
  <c r="C6" i="6"/>
  <c r="D6" i="6"/>
  <c r="E6" i="6"/>
  <c r="F6" i="6"/>
  <c r="G6" i="6"/>
  <c r="H6" i="6"/>
  <c r="I6" i="6"/>
  <c r="J6" i="6"/>
  <c r="K6" i="6"/>
  <c r="K9" i="6"/>
  <c r="C16" i="6"/>
  <c r="G16" i="6"/>
  <c r="H16" i="6"/>
  <c r="I16" i="6"/>
  <c r="J16" i="6"/>
  <c r="K16" i="6"/>
  <c r="K19" i="6"/>
  <c r="D5" i="5"/>
  <c r="D9" i="5"/>
  <c r="D9" i="4"/>
  <c r="D11" i="4"/>
  <c r="D13" i="4"/>
  <c r="D15" i="4"/>
</calcChain>
</file>

<file path=xl/sharedStrings.xml><?xml version="1.0" encoding="utf-8"?>
<sst xmlns="http://schemas.openxmlformats.org/spreadsheetml/2006/main" count="176" uniqueCount="103">
  <si>
    <t>Variation</t>
  </si>
  <si>
    <t>Operation &amp; Maintenance Expenses</t>
  </si>
  <si>
    <t>Depreciation Expenses</t>
  </si>
  <si>
    <t>Interest on Long-term Loan Capital</t>
  </si>
  <si>
    <t>Contribution to contingency reserves</t>
  </si>
  <si>
    <t>Total Revenue Expenditure</t>
  </si>
  <si>
    <t>Return on Equity Capital</t>
  </si>
  <si>
    <t>Aggregate Revenue Requirement</t>
  </si>
  <si>
    <t>Less: Non Tariff Income</t>
  </si>
  <si>
    <t>Less: Income from Other Business</t>
  </si>
  <si>
    <t>Aggregate Revenue Requirement from Transmission Tariff</t>
  </si>
  <si>
    <t>Additional Carrying/(holding Cost) on account of revision in ARR</t>
  </si>
  <si>
    <t>Availability Incentive</t>
  </si>
  <si>
    <t>Carrying cost of Availability Incentive</t>
  </si>
  <si>
    <t>ARR including Carrying Cost and Availability Incentive</t>
  </si>
  <si>
    <t>Particulars</t>
  </si>
  <si>
    <t>Difference</t>
  </si>
  <si>
    <t>Opening Balance of Loan</t>
  </si>
  <si>
    <t>Addition during the year</t>
  </si>
  <si>
    <t>Loan Repayment during the year</t>
  </si>
  <si>
    <t>Closing Balance of Loan</t>
  </si>
  <si>
    <t>Applicable Interest Rate (%)</t>
  </si>
  <si>
    <t>Avg Balance of Loan</t>
  </si>
  <si>
    <t>Interest Expenses</t>
  </si>
  <si>
    <t>Total Interest Expenses</t>
  </si>
  <si>
    <t>Computation of Working Capital</t>
  </si>
  <si>
    <t>Operations and Maintenance Expenses (One Month)</t>
  </si>
  <si>
    <t>Maintenance Spares (1/12th of the Book value of stores, materials and supplies / 1% of Historical cost)</t>
  </si>
  <si>
    <t>Revenue from Transmission Charges (One and Half Month / One Month)</t>
  </si>
  <si>
    <t xml:space="preserve">Less:  </t>
  </si>
  <si>
    <t>Amount of Security Deposit</t>
  </si>
  <si>
    <t>a</t>
  </si>
  <si>
    <t>From Transmission System users</t>
  </si>
  <si>
    <t>Total Working Capital</t>
  </si>
  <si>
    <t>Computation of working capital interest</t>
  </si>
  <si>
    <t>Rate of Interest (% p.a.)</t>
  </si>
  <si>
    <t xml:space="preserve">Interest on Working Capital </t>
  </si>
  <si>
    <t>Computation of Gain/ (Loss)</t>
  </si>
  <si>
    <t>Actual Working capital Interest</t>
  </si>
  <si>
    <t>Gain/ (Loss)</t>
  </si>
  <si>
    <t>Revised IOWC post Gain/ Loss</t>
  </si>
  <si>
    <t>Profit Before Tax</t>
  </si>
  <si>
    <t>Less:</t>
  </si>
  <si>
    <t>Efficiency Gain</t>
  </si>
  <si>
    <t>Incentive</t>
  </si>
  <si>
    <t>Add: Disallowance under IT</t>
  </si>
  <si>
    <t>Book Profit</t>
  </si>
  <si>
    <t>Tax payable on book profit</t>
  </si>
  <si>
    <t>Interest on tax</t>
  </si>
  <si>
    <t>Net Tax</t>
  </si>
  <si>
    <t>Income Tax Rate</t>
  </si>
  <si>
    <t>Annual Transmission Charges (Rs. Crore)</t>
  </si>
  <si>
    <t>Target Availability (%)</t>
  </si>
  <si>
    <t>Actual Availability Achieved (%)</t>
  </si>
  <si>
    <t>Upper Cap for Incentive Availability</t>
  </si>
  <si>
    <t>Incentive (Rs. Crore)</t>
  </si>
  <si>
    <t>Income Tax</t>
  </si>
  <si>
    <t>2019-20</t>
  </si>
  <si>
    <t>2020-21</t>
  </si>
  <si>
    <t>2021-22</t>
  </si>
  <si>
    <t>2022-23</t>
  </si>
  <si>
    <t>2023-24</t>
  </si>
  <si>
    <t>Principal Amount/ Interest Rate</t>
  </si>
  <si>
    <t>Total</t>
  </si>
  <si>
    <t>Carrying Cost on Revised ARR</t>
  </si>
  <si>
    <t>Carrying Cost on Incentive</t>
  </si>
  <si>
    <t>Sr. No.</t>
  </si>
  <si>
    <t>Amount</t>
  </si>
  <si>
    <t>Carrying cost on revised Trued up ARR</t>
  </si>
  <si>
    <t>Carrying cost on additional incentive to be recovered</t>
  </si>
  <si>
    <t>Interest on Working Capital</t>
  </si>
  <si>
    <t>FY 2019-20</t>
  </si>
  <si>
    <t>FY 2020-21</t>
  </si>
  <si>
    <t>FY 2021-22</t>
  </si>
  <si>
    <t>2024-25</t>
  </si>
  <si>
    <t>2025-26</t>
  </si>
  <si>
    <t>Revised Trued up ARR for FY 2019-20 to FY 2021-22</t>
  </si>
  <si>
    <t>As per Revised Capex</t>
  </si>
  <si>
    <t>Trued Up as per 237 of 2022</t>
  </si>
  <si>
    <t>Retirement of Assets during the year</t>
  </si>
  <si>
    <t>Applicable Depreciation Rate (%)</t>
  </si>
  <si>
    <t>Depreciation</t>
  </si>
  <si>
    <t>Avg Balance of GFA</t>
  </si>
  <si>
    <t>Opening Balance of GFA</t>
  </si>
  <si>
    <t>Closing Balance of GFA</t>
  </si>
  <si>
    <t>Deduction under tax</t>
  </si>
  <si>
    <t>Opening Balance of Equity</t>
  </si>
  <si>
    <t>Closing Balance of Equity</t>
  </si>
  <si>
    <t>Applicable Rate of Equity (%)</t>
  </si>
  <si>
    <t>Avg Balance of Equity</t>
  </si>
  <si>
    <t>RoE</t>
  </si>
  <si>
    <t>Financing Charges</t>
  </si>
  <si>
    <t>Total estimated recovery in FY 2025-26 due to additional claim of Capex by MSETCL</t>
  </si>
  <si>
    <t>Estimated impact of Income Tax on past due recovery of FY 2019-20 @ 17.472%</t>
  </si>
  <si>
    <t>Impact on approved Incentive for the period FY 2019-20</t>
  </si>
  <si>
    <t>APPENDIX II</t>
  </si>
  <si>
    <t>DEPRECIATION</t>
  </si>
  <si>
    <t>INTEREST ON LOAN</t>
  </si>
  <si>
    <t>INTEREST ON WORKING CAPITAL</t>
  </si>
  <si>
    <t>RETURN ON EQUITY</t>
  </si>
  <si>
    <t>INCOME TAX</t>
  </si>
  <si>
    <t>INCENTIVE</t>
  </si>
  <si>
    <t>CARRYING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</si>
</sst>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[$-409]d/mmm/yy;@"/>
    <numFmt numFmtId="166" formatCode="_(* #,##0.0000_);_(* \(#,##0.0000\);_(* &quot;-&quot;??_);_(@_)"/>
  </numFmts>
  <fonts count="12" x14ac:knownFonts="1">
    <font>
      <sz val="11"/>
      <color theme="1"/>
      <name val="Adani Regular"/>
      <family val="2"/>
    </font>
    <font>
      <sz val="11"/>
      <color theme="1"/>
      <name val="Adani Regular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165" fontId="2" fillId="0" borderId="0">
      <alignment vertical="center"/>
    </xf>
    <xf numFmtId="165" fontId="2" fillId="0" borderId="0"/>
    <xf numFmtId="165" fontId="2" fillId="0" borderId="0">
      <alignment vertical="center"/>
    </xf>
  </cellStyleXfs>
  <cellXfs count="159">
    <xf numFmtId="0" fontId="0" fillId="0" borderId="0" xfId="0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5" fontId="6" fillId="6" borderId="8" xfId="5" applyFont="1" applyFill="1" applyBorder="1" applyAlignment="1">
      <alignment horizontal="center" vertical="top" wrapText="1"/>
    </xf>
    <xf numFmtId="165" fontId="6" fillId="6" borderId="9" xfId="5" applyFont="1" applyFill="1" applyBorder="1" applyAlignment="1">
      <alignment horizontal="center" vertical="top" wrapText="1"/>
    </xf>
    <xf numFmtId="165" fontId="8" fillId="0" borderId="1" xfId="5" applyFont="1" applyBorder="1" applyAlignment="1">
      <alignment vertical="top" wrapText="1"/>
    </xf>
    <xf numFmtId="165" fontId="8" fillId="0" borderId="2" xfId="5" applyFont="1" applyBorder="1" applyAlignment="1">
      <alignment vertical="top" wrapText="1"/>
    </xf>
    <xf numFmtId="40" fontId="8" fillId="0" borderId="8" xfId="5" applyNumberFormat="1" applyFont="1" applyBorder="1" applyAlignment="1">
      <alignment vertical="top" wrapText="1"/>
    </xf>
    <xf numFmtId="40" fontId="8" fillId="0" borderId="1" xfId="5" applyNumberFormat="1" applyFont="1" applyBorder="1" applyAlignment="1">
      <alignment vertical="top" wrapText="1"/>
    </xf>
    <xf numFmtId="40" fontId="8" fillId="0" borderId="9" xfId="5" applyNumberFormat="1" applyFont="1" applyBorder="1" applyAlignment="1">
      <alignment vertical="top" wrapText="1"/>
    </xf>
    <xf numFmtId="0" fontId="8" fillId="0" borderId="1" xfId="4" applyNumberFormat="1" applyFont="1" applyFill="1" applyBorder="1" applyAlignment="1">
      <alignment horizontal="center" vertical="top" wrapText="1"/>
    </xf>
    <xf numFmtId="165" fontId="8" fillId="0" borderId="2" xfId="7" applyFont="1" applyBorder="1" applyAlignment="1">
      <alignment vertical="top" wrapText="1"/>
    </xf>
    <xf numFmtId="43" fontId="8" fillId="0" borderId="8" xfId="1" applyFont="1" applyFill="1" applyBorder="1" applyAlignment="1">
      <alignment vertical="top"/>
    </xf>
    <xf numFmtId="43" fontId="8" fillId="0" borderId="1" xfId="1" applyFont="1" applyFill="1" applyBorder="1" applyAlignment="1">
      <alignment vertical="top"/>
    </xf>
    <xf numFmtId="0" fontId="9" fillId="0" borderId="1" xfId="4" applyNumberFormat="1" applyFont="1" applyFill="1" applyBorder="1" applyAlignment="1">
      <alignment horizontal="center" vertical="top" wrapText="1"/>
    </xf>
    <xf numFmtId="165" fontId="9" fillId="0" borderId="2" xfId="7" applyFont="1" applyBorder="1" applyAlignment="1">
      <alignment vertical="top" wrapText="1"/>
    </xf>
    <xf numFmtId="43" fontId="9" fillId="0" borderId="8" xfId="1" applyFont="1" applyFill="1" applyBorder="1" applyAlignment="1">
      <alignment vertical="top" wrapText="1"/>
    </xf>
    <xf numFmtId="43" fontId="9" fillId="0" borderId="1" xfId="1" applyFont="1" applyFill="1" applyBorder="1" applyAlignment="1">
      <alignment vertical="top" wrapText="1"/>
    </xf>
    <xf numFmtId="43" fontId="8" fillId="0" borderId="8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 wrapText="1"/>
    </xf>
    <xf numFmtId="165" fontId="9" fillId="0" borderId="2" xfId="5" applyFont="1" applyBorder="1" applyAlignment="1">
      <alignment vertical="top" wrapText="1"/>
    </xf>
    <xf numFmtId="43" fontId="9" fillId="0" borderId="10" xfId="1" applyFont="1" applyFill="1" applyBorder="1" applyAlignment="1">
      <alignment vertical="top" wrapText="1"/>
    </xf>
    <xf numFmtId="43" fontId="9" fillId="0" borderId="11" xfId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0" applyNumberFormat="1" applyFont="1" applyAlignment="1">
      <alignment vertical="top"/>
    </xf>
    <xf numFmtId="0" fontId="8" fillId="0" borderId="1" xfId="4" applyNumberFormat="1" applyFont="1" applyBorder="1" applyAlignment="1">
      <alignment horizontal="center" vertical="top" wrapText="1"/>
    </xf>
    <xf numFmtId="43" fontId="8" fillId="0" borderId="1" xfId="1" applyFont="1" applyFill="1" applyBorder="1" applyAlignment="1">
      <alignment horizontal="right" vertical="top"/>
    </xf>
    <xf numFmtId="43" fontId="5" fillId="0" borderId="0" xfId="1" applyFont="1" applyAlignment="1">
      <alignment vertical="top"/>
    </xf>
    <xf numFmtId="0" fontId="9" fillId="3" borderId="1" xfId="4" applyNumberFormat="1" applyFont="1" applyFill="1" applyBorder="1" applyAlignment="1">
      <alignment horizontal="center" vertical="top" wrapText="1"/>
    </xf>
    <xf numFmtId="165" fontId="9" fillId="3" borderId="1" xfId="5" applyFont="1" applyFill="1" applyBorder="1" applyAlignment="1">
      <alignment vertical="top" wrapText="1"/>
    </xf>
    <xf numFmtId="43" fontId="9" fillId="3" borderId="1" xfId="1" applyFont="1" applyFill="1" applyBorder="1" applyAlignment="1">
      <alignment horizontal="right" vertical="top"/>
    </xf>
    <xf numFmtId="165" fontId="9" fillId="4" borderId="0" xfId="5" applyFont="1" applyFill="1">
      <alignment vertical="center"/>
    </xf>
    <xf numFmtId="165" fontId="8" fillId="4" borderId="0" xfId="5" applyFont="1" applyFill="1">
      <alignment vertical="center"/>
    </xf>
    <xf numFmtId="165" fontId="8" fillId="0" borderId="0" xfId="5" applyFont="1">
      <alignment vertical="center"/>
    </xf>
    <xf numFmtId="43" fontId="8" fillId="0" borderId="0" xfId="5" applyNumberFormat="1" applyFont="1">
      <alignment vertical="center"/>
    </xf>
    <xf numFmtId="164" fontId="8" fillId="0" borderId="0" xfId="5" applyNumberFormat="1" applyFont="1">
      <alignment vertical="center"/>
    </xf>
    <xf numFmtId="0" fontId="5" fillId="0" borderId="0" xfId="0" applyFont="1"/>
    <xf numFmtId="10" fontId="5" fillId="0" borderId="1" xfId="0" applyNumberFormat="1" applyFont="1" applyBorder="1"/>
    <xf numFmtId="0" fontId="10" fillId="0" borderId="1" xfId="0" applyFont="1" applyBorder="1"/>
    <xf numFmtId="165" fontId="9" fillId="0" borderId="2" xfId="5" applyFont="1" applyBorder="1">
      <alignment vertical="center"/>
    </xf>
    <xf numFmtId="165" fontId="9" fillId="0" borderId="3" xfId="5" applyFont="1" applyBorder="1">
      <alignment vertical="center"/>
    </xf>
    <xf numFmtId="165" fontId="8" fillId="0" borderId="1" xfId="5" applyFont="1" applyBorder="1">
      <alignment vertical="center"/>
    </xf>
    <xf numFmtId="43" fontId="8" fillId="0" borderId="1" xfId="1" applyFont="1" applyFill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43" fontId="10" fillId="0" borderId="1" xfId="0" applyNumberFormat="1" applyFont="1" applyBorder="1"/>
    <xf numFmtId="43" fontId="10" fillId="4" borderId="0" xfId="0" applyNumberFormat="1" applyFont="1" applyFill="1"/>
    <xf numFmtId="165" fontId="8" fillId="0" borderId="8" xfId="5" applyFont="1" applyBorder="1" applyAlignment="1">
      <alignment vertical="top" wrapText="1"/>
    </xf>
    <xf numFmtId="165" fontId="8" fillId="0" borderId="9" xfId="5" applyFont="1" applyBorder="1" applyAlignment="1">
      <alignment vertical="top" wrapText="1"/>
    </xf>
    <xf numFmtId="40" fontId="8" fillId="0" borderId="4" xfId="5" applyNumberFormat="1" applyFont="1" applyBorder="1" applyAlignment="1">
      <alignment vertical="top" wrapText="1"/>
    </xf>
    <xf numFmtId="40" fontId="8" fillId="0" borderId="2" xfId="5" applyNumberFormat="1" applyFont="1" applyBorder="1" applyAlignment="1">
      <alignment vertical="top" wrapText="1"/>
    </xf>
    <xf numFmtId="0" fontId="8" fillId="0" borderId="8" xfId="4" applyNumberFormat="1" applyFont="1" applyBorder="1" applyAlignment="1">
      <alignment horizontal="center" vertical="top" wrapText="1"/>
    </xf>
    <xf numFmtId="165" fontId="8" fillId="0" borderId="9" xfId="7" applyFont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43" fontId="8" fillId="0" borderId="2" xfId="1" applyFont="1" applyFill="1" applyBorder="1" applyAlignment="1">
      <alignment vertical="top"/>
    </xf>
    <xf numFmtId="10" fontId="8" fillId="0" borderId="4" xfId="2" applyNumberFormat="1" applyFont="1" applyFill="1" applyBorder="1" applyAlignment="1">
      <alignment vertical="top"/>
    </xf>
    <xf numFmtId="10" fontId="8" fillId="0" borderId="2" xfId="2" applyNumberFormat="1" applyFont="1" applyFill="1" applyBorder="1" applyAlignment="1">
      <alignment vertical="top"/>
    </xf>
    <xf numFmtId="0" fontId="9" fillId="0" borderId="10" xfId="4" applyNumberFormat="1" applyFont="1" applyBorder="1" applyAlignment="1">
      <alignment horizontal="center" vertical="top" wrapText="1"/>
    </xf>
    <xf numFmtId="165" fontId="9" fillId="0" borderId="12" xfId="7" applyFont="1" applyBorder="1" applyAlignment="1">
      <alignment vertical="top" wrapText="1"/>
    </xf>
    <xf numFmtId="43" fontId="9" fillId="0" borderId="17" xfId="1" applyFont="1" applyFill="1" applyBorder="1" applyAlignment="1">
      <alignment vertical="top"/>
    </xf>
    <xf numFmtId="43" fontId="9" fillId="0" borderId="19" xfId="1" applyFont="1" applyFill="1" applyBorder="1" applyAlignment="1">
      <alignment vertical="top"/>
    </xf>
    <xf numFmtId="43" fontId="8" fillId="0" borderId="9" xfId="1" applyFont="1" applyFill="1" applyBorder="1" applyAlignment="1">
      <alignment vertical="top"/>
    </xf>
    <xf numFmtId="43" fontId="8" fillId="0" borderId="15" xfId="1" applyFont="1" applyFill="1" applyBorder="1" applyAlignment="1">
      <alignment vertical="top"/>
    </xf>
    <xf numFmtId="0" fontId="9" fillId="0" borderId="8" xfId="4" applyNumberFormat="1" applyFont="1" applyBorder="1" applyAlignment="1">
      <alignment horizontal="center" vertical="top" wrapText="1"/>
    </xf>
    <xf numFmtId="165" fontId="9" fillId="0" borderId="9" xfId="7" applyFont="1" applyBorder="1" applyAlignment="1">
      <alignment vertical="top" wrapText="1"/>
    </xf>
    <xf numFmtId="43" fontId="9" fillId="0" borderId="15" xfId="1" applyFont="1" applyFill="1" applyBorder="1" applyAlignment="1">
      <alignment vertical="top" wrapText="1"/>
    </xf>
    <xf numFmtId="0" fontId="8" fillId="0" borderId="8" xfId="4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43" fontId="5" fillId="0" borderId="8" xfId="1" applyFont="1" applyFill="1" applyBorder="1" applyAlignment="1">
      <alignment vertical="top"/>
    </xf>
    <xf numFmtId="43" fontId="5" fillId="0" borderId="9" xfId="1" applyFont="1" applyFill="1" applyBorder="1" applyAlignment="1">
      <alignment vertical="top"/>
    </xf>
    <xf numFmtId="0" fontId="9" fillId="0" borderId="8" xfId="4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vertical="top"/>
    </xf>
    <xf numFmtId="166" fontId="10" fillId="0" borderId="8" xfId="0" applyNumberFormat="1" applyFont="1" applyBorder="1" applyAlignment="1">
      <alignment vertical="top"/>
    </xf>
    <xf numFmtId="166" fontId="10" fillId="0" borderId="15" xfId="0" applyNumberFormat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43" fontId="10" fillId="0" borderId="8" xfId="0" applyNumberFormat="1" applyFont="1" applyBorder="1" applyAlignment="1">
      <alignment vertical="top"/>
    </xf>
    <xf numFmtId="43" fontId="10" fillId="0" borderId="9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10" fontId="5" fillId="0" borderId="1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10" fontId="8" fillId="0" borderId="8" xfId="2" applyNumberFormat="1" applyFont="1" applyFill="1" applyBorder="1" applyAlignment="1">
      <alignment vertical="top"/>
    </xf>
    <xf numFmtId="10" fontId="8" fillId="0" borderId="9" xfId="2" applyNumberFormat="1" applyFont="1" applyFill="1" applyBorder="1" applyAlignment="1">
      <alignment vertical="top"/>
    </xf>
    <xf numFmtId="0" fontId="10" fillId="3" borderId="8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vertical="top" wrapText="1"/>
    </xf>
    <xf numFmtId="2" fontId="3" fillId="0" borderId="8" xfId="0" applyNumberFormat="1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43" fontId="8" fillId="0" borderId="8" xfId="1" applyFont="1" applyFill="1" applyBorder="1" applyAlignment="1">
      <alignment horizontal="right" vertical="top"/>
    </xf>
    <xf numFmtId="43" fontId="3" fillId="0" borderId="8" xfId="0" applyNumberFormat="1" applyFont="1" applyBorder="1" applyAlignment="1">
      <alignment horizontal="right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43" fontId="8" fillId="0" borderId="9" xfId="1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right" vertical="top"/>
    </xf>
    <xf numFmtId="43" fontId="3" fillId="0" borderId="8" xfId="1" applyFont="1" applyFill="1" applyBorder="1" applyAlignment="1">
      <alignment horizontal="right" vertical="top"/>
    </xf>
    <xf numFmtId="43" fontId="3" fillId="0" borderId="9" xfId="1" applyFont="1" applyFill="1" applyBorder="1" applyAlignment="1">
      <alignment horizontal="right" vertical="top"/>
    </xf>
    <xf numFmtId="43" fontId="9" fillId="0" borderId="8" xfId="1" applyFont="1" applyFill="1" applyBorder="1" applyAlignment="1">
      <alignment horizontal="right" vertical="top" wrapText="1"/>
    </xf>
    <xf numFmtId="43" fontId="9" fillId="0" borderId="9" xfId="1" applyFont="1" applyFill="1" applyBorder="1" applyAlignment="1">
      <alignment horizontal="right" vertical="top" wrapText="1"/>
    </xf>
    <xf numFmtId="0" fontId="10" fillId="2" borderId="8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vertical="top" wrapText="1"/>
    </xf>
    <xf numFmtId="43" fontId="11" fillId="0" borderId="8" xfId="0" applyNumberFormat="1" applyFont="1" applyBorder="1" applyAlignment="1">
      <alignment horizontal="right" vertical="top"/>
    </xf>
    <xf numFmtId="43" fontId="11" fillId="0" borderId="9" xfId="0" applyNumberFormat="1" applyFont="1" applyBorder="1" applyAlignment="1">
      <alignment horizontal="right" vertical="top"/>
    </xf>
    <xf numFmtId="43" fontId="10" fillId="0" borderId="8" xfId="1" applyFont="1" applyFill="1" applyBorder="1" applyAlignment="1">
      <alignment horizontal="right" vertical="top"/>
    </xf>
    <xf numFmtId="43" fontId="10" fillId="0" borderId="9" xfId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right" vertical="top"/>
    </xf>
    <xf numFmtId="0" fontId="11" fillId="3" borderId="9" xfId="0" applyFont="1" applyFill="1" applyBorder="1" applyAlignment="1">
      <alignment horizontal="right" vertical="top"/>
    </xf>
    <xf numFmtId="10" fontId="3" fillId="2" borderId="8" xfId="2" applyNumberFormat="1" applyFont="1" applyFill="1" applyBorder="1" applyAlignment="1">
      <alignment horizontal="right" vertical="top"/>
    </xf>
    <xf numFmtId="10" fontId="3" fillId="2" borderId="9" xfId="2" applyNumberFormat="1" applyFont="1" applyFill="1" applyBorder="1" applyAlignment="1">
      <alignment horizontal="right" vertical="top"/>
    </xf>
    <xf numFmtId="10" fontId="5" fillId="0" borderId="8" xfId="2" applyNumberFormat="1" applyFont="1" applyBorder="1" applyAlignment="1">
      <alignment horizontal="right" vertical="top"/>
    </xf>
    <xf numFmtId="10" fontId="5" fillId="0" borderId="9" xfId="2" applyNumberFormat="1" applyFont="1" applyBorder="1" applyAlignment="1">
      <alignment horizontal="right" vertical="top"/>
    </xf>
    <xf numFmtId="43" fontId="11" fillId="2" borderId="8" xfId="0" applyNumberFormat="1" applyFont="1" applyFill="1" applyBorder="1" applyAlignment="1">
      <alignment horizontal="right" vertical="top"/>
    </xf>
    <xf numFmtId="43" fontId="11" fillId="2" borderId="9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right" vertical="top"/>
    </xf>
    <xf numFmtId="43" fontId="5" fillId="0" borderId="8" xfId="1" applyFont="1" applyBorder="1" applyAlignment="1">
      <alignment horizontal="right" vertical="top"/>
    </xf>
    <xf numFmtId="43" fontId="5" fillId="0" borderId="9" xfId="1" applyFont="1" applyBorder="1" applyAlignment="1">
      <alignment horizontal="right" vertical="top"/>
    </xf>
    <xf numFmtId="43" fontId="3" fillId="2" borderId="8" xfId="0" applyNumberFormat="1" applyFont="1" applyFill="1" applyBorder="1" applyAlignment="1">
      <alignment horizontal="right" vertical="top"/>
    </xf>
    <xf numFmtId="43" fontId="3" fillId="2" borderId="9" xfId="0" applyNumberFormat="1" applyFont="1" applyFill="1" applyBorder="1" applyAlignment="1">
      <alignment horizontal="right" vertical="top"/>
    </xf>
    <xf numFmtId="0" fontId="10" fillId="2" borderId="10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vertical="top" wrapText="1"/>
    </xf>
    <xf numFmtId="43" fontId="11" fillId="2" borderId="10" xfId="0" applyNumberFormat="1" applyFont="1" applyFill="1" applyBorder="1" applyAlignment="1">
      <alignment horizontal="right" vertical="top"/>
    </xf>
    <xf numFmtId="165" fontId="6" fillId="5" borderId="8" xfId="5" applyFont="1" applyFill="1" applyBorder="1" applyAlignment="1">
      <alignment horizontal="center" vertical="top" wrapText="1"/>
    </xf>
    <xf numFmtId="165" fontId="6" fillId="5" borderId="9" xfId="5" applyFont="1" applyFill="1" applyBorder="1" applyAlignment="1">
      <alignment horizontal="center" vertical="top" wrapText="1"/>
    </xf>
    <xf numFmtId="165" fontId="6" fillId="7" borderId="1" xfId="5" applyFont="1" applyFill="1" applyBorder="1" applyAlignment="1">
      <alignment horizontal="center" vertical="top" wrapText="1"/>
    </xf>
    <xf numFmtId="43" fontId="6" fillId="6" borderId="1" xfId="5" applyNumberFormat="1" applyFont="1" applyFill="1" applyBorder="1" applyAlignment="1">
      <alignment horizontal="center" vertical="top"/>
    </xf>
    <xf numFmtId="165" fontId="6" fillId="6" borderId="1" xfId="5" applyFont="1" applyFill="1" applyBorder="1">
      <alignment vertical="center"/>
    </xf>
    <xf numFmtId="164" fontId="6" fillId="6" borderId="1" xfId="5" applyNumberFormat="1" applyFont="1" applyFill="1" applyBorder="1">
      <alignment vertical="center"/>
    </xf>
    <xf numFmtId="43" fontId="6" fillId="6" borderId="1" xfId="5" applyNumberFormat="1" applyFont="1" applyFill="1" applyBorder="1">
      <alignment vertical="center"/>
    </xf>
    <xf numFmtId="43" fontId="6" fillId="6" borderId="1" xfId="5" applyNumberFormat="1" applyFont="1" applyFill="1" applyBorder="1" applyAlignment="1">
      <alignment horizontal="center" vertical="center"/>
    </xf>
    <xf numFmtId="166" fontId="9" fillId="0" borderId="9" xfId="1" applyNumberFormat="1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6" fillId="6" borderId="1" xfId="5" applyFont="1" applyFill="1" applyBorder="1" applyAlignment="1">
      <alignment horizontal="center" vertical="top" wrapText="1"/>
    </xf>
    <xf numFmtId="165" fontId="7" fillId="6" borderId="1" xfId="6" applyFont="1" applyFill="1" applyBorder="1" applyAlignment="1">
      <alignment horizontal="center" vertical="top" wrapText="1"/>
    </xf>
    <xf numFmtId="165" fontId="6" fillId="6" borderId="2" xfId="5" applyFont="1" applyFill="1" applyBorder="1" applyAlignment="1">
      <alignment horizontal="center" vertical="top" wrapText="1"/>
    </xf>
    <xf numFmtId="165" fontId="7" fillId="6" borderId="2" xfId="6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165" fontId="6" fillId="5" borderId="13" xfId="5" applyFont="1" applyFill="1" applyBorder="1" applyAlignment="1">
      <alignment horizontal="center" vertical="top" wrapText="1"/>
    </xf>
    <xf numFmtId="165" fontId="7" fillId="5" borderId="8" xfId="6" applyFont="1" applyFill="1" applyBorder="1" applyAlignment="1">
      <alignment horizontal="center" vertical="top" wrapText="1"/>
    </xf>
    <xf numFmtId="165" fontId="6" fillId="5" borderId="14" xfId="5" applyFont="1" applyFill="1" applyBorder="1" applyAlignment="1">
      <alignment horizontal="center" vertical="top" wrapText="1"/>
    </xf>
    <xf numFmtId="165" fontId="7" fillId="5" borderId="9" xfId="6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top"/>
    </xf>
    <xf numFmtId="165" fontId="6" fillId="6" borderId="13" xfId="5" applyFont="1" applyFill="1" applyBorder="1" applyAlignment="1">
      <alignment horizontal="center" vertical="top" wrapText="1"/>
    </xf>
    <xf numFmtId="165" fontId="7" fillId="6" borderId="8" xfId="6" applyFont="1" applyFill="1" applyBorder="1" applyAlignment="1">
      <alignment horizontal="center" vertical="top" wrapText="1"/>
    </xf>
    <xf numFmtId="165" fontId="6" fillId="6" borderId="14" xfId="5" applyFont="1" applyFill="1" applyBorder="1" applyAlignment="1">
      <alignment horizontal="center" vertical="top" wrapText="1"/>
    </xf>
    <xf numFmtId="165" fontId="7" fillId="6" borderId="9" xfId="6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/>
    </xf>
    <xf numFmtId="0" fontId="6" fillId="6" borderId="18" xfId="0" applyFont="1" applyFill="1" applyBorder="1" applyAlignment="1">
      <alignment horizontal="center" vertical="top"/>
    </xf>
    <xf numFmtId="165" fontId="9" fillId="0" borderId="2" xfId="5" applyFont="1" applyBorder="1" applyAlignment="1">
      <alignment horizontal="center" vertical="center"/>
    </xf>
    <xf numFmtId="165" fontId="9" fillId="0" borderId="4" xfId="5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8">
    <cellStyle name="Comma" xfId="1" builtinId="3"/>
    <cellStyle name="Comma 2" xfId="4" xr:uid="{1FAA6C27-3FFA-4465-BDCC-F18F38AC76DA}"/>
    <cellStyle name="Normal" xfId="0" builtinId="0"/>
    <cellStyle name="Normal 4" xfId="6" xr:uid="{53B71C82-A285-4346-A1D4-476A756A3AF4}"/>
    <cellStyle name="Normal 5" xfId="3" xr:uid="{35C979C9-CFB1-4B8E-8587-48D783070E12}"/>
    <cellStyle name="Normal_FORMATS 5 YEAR ALOKE 3" xfId="5" xr:uid="{AB5A9B78-4F17-4CD1-8B36-F5F1A873C28D}"/>
    <cellStyle name="Normal_FORMATS 5 YEAR ALOKE 3 2" xfId="7" xr:uid="{2B0ABE20-F9C5-4FB6-BF5A-BF4EDCE34D9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BB95-7ADB-4E62-922D-5B739BAA37C5}">
  <sheetPr>
    <pageSetUpPr fitToPage="1"/>
  </sheetPr>
  <dimension ref="A1:K31"/>
  <sheetViews>
    <sheetView showGridLines="0" tabSelected="1" view="pageBreakPreview" topLeftCell="A17" zoomScale="80" zoomScaleNormal="70" zoomScaleSheetLayoutView="80" workbookViewId="0">
      <selection activeCell="N14" sqref="N14"/>
    </sheetView>
  </sheetViews>
  <sheetFormatPr defaultColWidth="8.796875" defaultRowHeight="15" x14ac:dyDescent="0.25"/>
  <cols>
    <col min="1" max="1" width="7.09765625" style="3" customWidth="1"/>
    <col min="2" max="2" width="31.296875" style="24" customWidth="1"/>
    <col min="3" max="3" width="11.3984375" style="3" customWidth="1"/>
    <col min="4" max="4" width="11.09765625" style="3" customWidth="1"/>
    <col min="5" max="5" width="7.59765625" style="3" customWidth="1"/>
    <col min="6" max="7" width="11.09765625" style="3" customWidth="1"/>
    <col min="8" max="8" width="8.59765625" style="3" customWidth="1"/>
    <col min="9" max="9" width="10.5" style="3" customWidth="1"/>
    <col min="10" max="10" width="10.19921875" style="3" customWidth="1"/>
    <col min="11" max="11" width="7.796875" style="3" customWidth="1"/>
    <col min="12" max="16384" width="8.796875" style="3"/>
  </cols>
  <sheetData>
    <row r="1" spans="1:11" ht="19.5" thickBot="1" x14ac:dyDescent="0.3">
      <c r="A1" s="136" t="s">
        <v>95</v>
      </c>
      <c r="B1" s="136"/>
    </row>
    <row r="2" spans="1:11" x14ac:dyDescent="0.25">
      <c r="A2" s="137" t="s">
        <v>66</v>
      </c>
      <c r="B2" s="139" t="s">
        <v>15</v>
      </c>
      <c r="C2" s="133" t="s">
        <v>71</v>
      </c>
      <c r="D2" s="134"/>
      <c r="E2" s="135"/>
      <c r="F2" s="133" t="s">
        <v>72</v>
      </c>
      <c r="G2" s="134"/>
      <c r="H2" s="135"/>
      <c r="I2" s="133" t="s">
        <v>73</v>
      </c>
      <c r="J2" s="134"/>
      <c r="K2" s="135"/>
    </row>
    <row r="3" spans="1:11" ht="42.75" x14ac:dyDescent="0.25">
      <c r="A3" s="138"/>
      <c r="B3" s="140"/>
      <c r="C3" s="4" t="s">
        <v>78</v>
      </c>
      <c r="D3" s="5" t="s">
        <v>77</v>
      </c>
      <c r="E3" s="5" t="s">
        <v>16</v>
      </c>
      <c r="F3" s="4" t="s">
        <v>78</v>
      </c>
      <c r="G3" s="5" t="s">
        <v>77</v>
      </c>
      <c r="H3" s="5" t="s">
        <v>16</v>
      </c>
      <c r="I3" s="4" t="s">
        <v>78</v>
      </c>
      <c r="J3" s="5" t="s">
        <v>77</v>
      </c>
      <c r="K3" s="5" t="s">
        <v>16</v>
      </c>
    </row>
    <row r="4" spans="1:11" x14ac:dyDescent="0.25">
      <c r="A4" s="6"/>
      <c r="B4" s="7"/>
      <c r="C4" s="8"/>
      <c r="D4" s="9"/>
      <c r="E4" s="10"/>
      <c r="F4" s="8"/>
      <c r="G4" s="9"/>
      <c r="H4" s="10"/>
      <c r="I4" s="8"/>
      <c r="J4" s="9"/>
      <c r="K4" s="10"/>
    </row>
    <row r="5" spans="1:11" x14ac:dyDescent="0.25">
      <c r="A5" s="11">
        <v>1</v>
      </c>
      <c r="B5" s="12" t="s">
        <v>1</v>
      </c>
      <c r="C5" s="13">
        <v>104.92</v>
      </c>
      <c r="D5" s="14">
        <f>C5</f>
        <v>104.92</v>
      </c>
      <c r="E5" s="14">
        <f>D5-C5</f>
        <v>0</v>
      </c>
      <c r="F5" s="13">
        <v>102.07</v>
      </c>
      <c r="G5" s="14">
        <f>F5</f>
        <v>102.07</v>
      </c>
      <c r="H5" s="14">
        <f>G5-F5</f>
        <v>0</v>
      </c>
      <c r="I5" s="13">
        <v>106.8</v>
      </c>
      <c r="J5" s="14">
        <f>I5</f>
        <v>106.8</v>
      </c>
      <c r="K5" s="14">
        <f>J5-I5</f>
        <v>0</v>
      </c>
    </row>
    <row r="6" spans="1:11" x14ac:dyDescent="0.25">
      <c r="A6" s="11">
        <v>2</v>
      </c>
      <c r="B6" s="7" t="s">
        <v>2</v>
      </c>
      <c r="C6" s="13">
        <v>303.76</v>
      </c>
      <c r="D6" s="14">
        <f>Depreciation!D11</f>
        <v>304.58736622500004</v>
      </c>
      <c r="E6" s="14">
        <f t="shared" ref="E6:E10" si="0">D6-C6</f>
        <v>0.82736622500004842</v>
      </c>
      <c r="F6" s="13">
        <v>303.79000000000002</v>
      </c>
      <c r="G6" s="14">
        <f>Depreciation!F11</f>
        <v>305.44023805500001</v>
      </c>
      <c r="H6" s="14">
        <f t="shared" ref="H6:H10" si="1">G6-F6</f>
        <v>1.6502380549999884</v>
      </c>
      <c r="I6" s="13">
        <v>303.95999999999998</v>
      </c>
      <c r="J6" s="14">
        <f>Depreciation!H11</f>
        <v>305.61001453500006</v>
      </c>
      <c r="K6" s="14">
        <f t="shared" ref="K6:K10" si="2">J6-I6</f>
        <v>1.6500145350000821</v>
      </c>
    </row>
    <row r="7" spans="1:11" x14ac:dyDescent="0.25">
      <c r="A7" s="11">
        <v>3</v>
      </c>
      <c r="B7" s="12" t="s">
        <v>3</v>
      </c>
      <c r="C7" s="13">
        <v>320.11</v>
      </c>
      <c r="D7" s="14">
        <f>'Interest on Loan'!D13</f>
        <v>321.44433791549056</v>
      </c>
      <c r="E7" s="14">
        <f t="shared" si="0"/>
        <v>1.3343379154905506</v>
      </c>
      <c r="F7" s="13">
        <v>281.67</v>
      </c>
      <c r="G7" s="14">
        <f>'Interest on Loan'!F13</f>
        <v>284.23671036924554</v>
      </c>
      <c r="H7" s="14">
        <f t="shared" si="1"/>
        <v>2.5667103692455271</v>
      </c>
      <c r="I7" s="13">
        <v>243.49</v>
      </c>
      <c r="J7" s="14">
        <f>'Interest on Loan'!H13</f>
        <v>245.8492763613543</v>
      </c>
      <c r="K7" s="14">
        <f t="shared" si="2"/>
        <v>2.35927636135429</v>
      </c>
    </row>
    <row r="8" spans="1:11" x14ac:dyDescent="0.25">
      <c r="A8" s="11">
        <v>4</v>
      </c>
      <c r="B8" s="12" t="s">
        <v>70</v>
      </c>
      <c r="C8" s="13">
        <v>15.8</v>
      </c>
      <c r="D8" s="14">
        <f>IoWC!D22</f>
        <v>15.807413719333333</v>
      </c>
      <c r="E8" s="14">
        <f t="shared" si="0"/>
        <v>7.413719333332125E-3</v>
      </c>
      <c r="F8" s="13">
        <v>18.47</v>
      </c>
      <c r="G8" s="14">
        <f>IoWC!F22</f>
        <v>18.490771873333333</v>
      </c>
      <c r="H8" s="14">
        <f t="shared" si="1"/>
        <v>2.0771873333334412E-2</v>
      </c>
      <c r="I8" s="13">
        <v>19.25</v>
      </c>
      <c r="J8" s="14">
        <f>IoWC!H22</f>
        <v>19.263780666666669</v>
      </c>
      <c r="K8" s="14">
        <f t="shared" si="2"/>
        <v>1.3780666666669106E-2</v>
      </c>
    </row>
    <row r="9" spans="1:11" x14ac:dyDescent="0.25">
      <c r="A9" s="11">
        <v>6</v>
      </c>
      <c r="B9" s="12" t="s">
        <v>56</v>
      </c>
      <c r="C9" s="13">
        <v>45.99</v>
      </c>
      <c r="D9" s="14">
        <f ca="1">'Income Tax'!D15</f>
        <v>45.982158910098264</v>
      </c>
      <c r="E9" s="14">
        <f t="shared" ca="1" si="0"/>
        <v>-7.841089901738485E-3</v>
      </c>
      <c r="F9" s="13">
        <v>0</v>
      </c>
      <c r="G9" s="14">
        <v>0</v>
      </c>
      <c r="H9" s="14">
        <f t="shared" si="1"/>
        <v>0</v>
      </c>
      <c r="I9" s="13">
        <v>0</v>
      </c>
      <c r="J9" s="14">
        <v>0</v>
      </c>
      <c r="K9" s="14">
        <f t="shared" si="2"/>
        <v>0</v>
      </c>
    </row>
    <row r="10" spans="1:11" x14ac:dyDescent="0.25">
      <c r="A10" s="11">
        <v>7</v>
      </c>
      <c r="B10" s="12" t="s">
        <v>4</v>
      </c>
      <c r="C10" s="13">
        <v>13.41</v>
      </c>
      <c r="D10" s="14">
        <f>C10</f>
        <v>13.41</v>
      </c>
      <c r="E10" s="14">
        <f t="shared" si="0"/>
        <v>0</v>
      </c>
      <c r="F10" s="13">
        <v>14.45</v>
      </c>
      <c r="G10" s="14">
        <f>F10</f>
        <v>14.45</v>
      </c>
      <c r="H10" s="14">
        <f t="shared" si="1"/>
        <v>0</v>
      </c>
      <c r="I10" s="13">
        <v>14.45</v>
      </c>
      <c r="J10" s="14">
        <f>I10</f>
        <v>14.45</v>
      </c>
      <c r="K10" s="14">
        <f t="shared" si="2"/>
        <v>0</v>
      </c>
    </row>
    <row r="11" spans="1:11" x14ac:dyDescent="0.25">
      <c r="A11" s="15">
        <v>8</v>
      </c>
      <c r="B11" s="16" t="s">
        <v>5</v>
      </c>
      <c r="C11" s="17">
        <f t="shared" ref="C11:K11" si="3">SUM(C5:C10)</f>
        <v>803.9899999999999</v>
      </c>
      <c r="D11" s="18">
        <f t="shared" ca="1" si="3"/>
        <v>806.15127676992222</v>
      </c>
      <c r="E11" s="18">
        <f t="shared" ca="1" si="3"/>
        <v>2.1612767699221926</v>
      </c>
      <c r="F11" s="17">
        <f t="shared" si="3"/>
        <v>720.45</v>
      </c>
      <c r="G11" s="18">
        <f t="shared" si="3"/>
        <v>724.68772029757895</v>
      </c>
      <c r="H11" s="18">
        <f t="shared" si="3"/>
        <v>4.2377202975788499</v>
      </c>
      <c r="I11" s="17">
        <f t="shared" si="3"/>
        <v>687.95</v>
      </c>
      <c r="J11" s="18">
        <f t="shared" si="3"/>
        <v>691.97307156302111</v>
      </c>
      <c r="K11" s="18">
        <f t="shared" si="3"/>
        <v>4.0230715630210412</v>
      </c>
    </row>
    <row r="12" spans="1:11" x14ac:dyDescent="0.25">
      <c r="A12" s="11">
        <v>9</v>
      </c>
      <c r="B12" s="12" t="s">
        <v>6</v>
      </c>
      <c r="C12" s="13">
        <v>268.70999999999998</v>
      </c>
      <c r="D12" s="14">
        <f>ROE!D10</f>
        <v>269.44053000000002</v>
      </c>
      <c r="E12" s="14">
        <f>D12-C12</f>
        <v>0.73053000000004431</v>
      </c>
      <c r="F12" s="13">
        <v>325.64</v>
      </c>
      <c r="G12" s="14">
        <f>ROE!F10</f>
        <v>327.40641661012017</v>
      </c>
      <c r="H12" s="14">
        <f>G12-F12</f>
        <v>1.7664166101201886</v>
      </c>
      <c r="I12" s="13">
        <v>325.83999999999997</v>
      </c>
      <c r="J12" s="14">
        <f>ROE!H10</f>
        <v>327.60193207153935</v>
      </c>
      <c r="K12" s="14">
        <f>J12-I12</f>
        <v>1.7619320715393769</v>
      </c>
    </row>
    <row r="13" spans="1:11" x14ac:dyDescent="0.25">
      <c r="A13" s="15">
        <v>10</v>
      </c>
      <c r="B13" s="16" t="s">
        <v>7</v>
      </c>
      <c r="C13" s="17">
        <f t="shared" ref="C13:K13" si="4">SUM(C11:C12)</f>
        <v>1072.6999999999998</v>
      </c>
      <c r="D13" s="18">
        <f t="shared" ca="1" si="4"/>
        <v>1075.5918067699222</v>
      </c>
      <c r="E13" s="18">
        <f t="shared" ca="1" si="4"/>
        <v>2.891806769922237</v>
      </c>
      <c r="F13" s="17">
        <f t="shared" si="4"/>
        <v>1046.0900000000001</v>
      </c>
      <c r="G13" s="18">
        <f t="shared" si="4"/>
        <v>1052.0941369076991</v>
      </c>
      <c r="H13" s="18">
        <f t="shared" si="4"/>
        <v>6.0041369076990385</v>
      </c>
      <c r="I13" s="17">
        <f>SUM(I11:I12)-0.01</f>
        <v>1013.78</v>
      </c>
      <c r="J13" s="18">
        <f t="shared" si="4"/>
        <v>1019.5750036345605</v>
      </c>
      <c r="K13" s="18">
        <f t="shared" si="4"/>
        <v>5.7850036345604181</v>
      </c>
    </row>
    <row r="14" spans="1:11" x14ac:dyDescent="0.25">
      <c r="A14" s="11">
        <v>11</v>
      </c>
      <c r="B14" s="12" t="s">
        <v>8</v>
      </c>
      <c r="C14" s="13">
        <v>1.1299999999999999</v>
      </c>
      <c r="D14" s="14">
        <f>C14</f>
        <v>1.1299999999999999</v>
      </c>
      <c r="E14" s="14">
        <f>D14-C14</f>
        <v>0</v>
      </c>
      <c r="F14" s="13">
        <v>2.06</v>
      </c>
      <c r="G14" s="14">
        <f>F14</f>
        <v>2.06</v>
      </c>
      <c r="H14" s="14">
        <f>G14-F14</f>
        <v>0</v>
      </c>
      <c r="I14" s="13">
        <v>19.690000000000001</v>
      </c>
      <c r="J14" s="14">
        <f>I14</f>
        <v>19.690000000000001</v>
      </c>
      <c r="K14" s="14">
        <f>J14-I14</f>
        <v>0</v>
      </c>
    </row>
    <row r="15" spans="1:11" x14ac:dyDescent="0.25">
      <c r="A15" s="11">
        <v>12</v>
      </c>
      <c r="B15" s="12" t="s">
        <v>9</v>
      </c>
      <c r="C15" s="13"/>
      <c r="D15" s="14"/>
      <c r="E15" s="14"/>
      <c r="F15" s="13"/>
      <c r="G15" s="14"/>
      <c r="H15" s="14"/>
      <c r="I15" s="13"/>
      <c r="J15" s="14"/>
      <c r="K15" s="14"/>
    </row>
    <row r="16" spans="1:11" ht="28.5" x14ac:dyDescent="0.25">
      <c r="A16" s="15">
        <v>13</v>
      </c>
      <c r="B16" s="16" t="s">
        <v>10</v>
      </c>
      <c r="C16" s="17">
        <f t="shared" ref="C16:K16" si="5">C13-C14-C15</f>
        <v>1071.5699999999997</v>
      </c>
      <c r="D16" s="18">
        <f t="shared" ca="1" si="5"/>
        <v>1074.4618067699221</v>
      </c>
      <c r="E16" s="18">
        <f t="shared" ca="1" si="5"/>
        <v>2.891806769922237</v>
      </c>
      <c r="F16" s="17">
        <f t="shared" si="5"/>
        <v>1044.0300000000002</v>
      </c>
      <c r="G16" s="18">
        <f t="shared" si="5"/>
        <v>1050.0341369076991</v>
      </c>
      <c r="H16" s="18">
        <f t="shared" si="5"/>
        <v>6.0041369076990385</v>
      </c>
      <c r="I16" s="17">
        <f t="shared" si="5"/>
        <v>994.08999999999992</v>
      </c>
      <c r="J16" s="18">
        <f t="shared" si="5"/>
        <v>999.88500363456046</v>
      </c>
      <c r="K16" s="18">
        <f t="shared" si="5"/>
        <v>5.7850036345604181</v>
      </c>
    </row>
    <row r="17" spans="1:11" ht="30" x14ac:dyDescent="0.25">
      <c r="A17" s="11">
        <v>14</v>
      </c>
      <c r="B17" s="7" t="s">
        <v>11</v>
      </c>
      <c r="C17" s="19"/>
      <c r="D17" s="14">
        <f ca="1">'Carrying Cost'!K6</f>
        <v>1.6465992286393907</v>
      </c>
      <c r="E17" s="14">
        <f t="shared" ref="E17:E19" ca="1" si="6">D17-C17</f>
        <v>1.6465992286393907</v>
      </c>
      <c r="F17" s="19"/>
      <c r="G17" s="14">
        <f>'Carrying Cost'!K7</f>
        <v>2.8714924313769945</v>
      </c>
      <c r="H17" s="14">
        <f t="shared" ref="H17:H18" si="7">G17-F17</f>
        <v>2.8714924313769945</v>
      </c>
      <c r="I17" s="19"/>
      <c r="J17" s="14">
        <f>'Carrying Cost'!K8</f>
        <v>2.2728660896686859</v>
      </c>
      <c r="K17" s="14">
        <f t="shared" ref="K17:K18" si="8">J17-I17</f>
        <v>2.2728660896686859</v>
      </c>
    </row>
    <row r="18" spans="1:11" x14ac:dyDescent="0.25">
      <c r="A18" s="11">
        <v>15</v>
      </c>
      <c r="B18" s="7" t="s">
        <v>12</v>
      </c>
      <c r="C18" s="19">
        <f>Incentive!C9</f>
        <v>7.7932363636363462</v>
      </c>
      <c r="D18" s="20">
        <f ca="1">Incentive!D9</f>
        <v>7.8142676855994164</v>
      </c>
      <c r="E18" s="14">
        <f t="shared" ca="1" si="6"/>
        <v>2.1031321963070226E-2</v>
      </c>
      <c r="F18" s="19"/>
      <c r="G18" s="20"/>
      <c r="H18" s="14">
        <f t="shared" si="7"/>
        <v>0</v>
      </c>
      <c r="I18" s="19"/>
      <c r="J18" s="20"/>
      <c r="K18" s="14">
        <f t="shared" si="8"/>
        <v>0</v>
      </c>
    </row>
    <row r="19" spans="1:11" x14ac:dyDescent="0.25">
      <c r="A19" s="11">
        <v>16</v>
      </c>
      <c r="B19" s="7" t="s">
        <v>13</v>
      </c>
      <c r="C19" s="19"/>
      <c r="D19" s="20">
        <f ca="1">'Carrying Cost'!K16</f>
        <v>6.391323577018642E-3</v>
      </c>
      <c r="E19" s="14">
        <f t="shared" ca="1" si="6"/>
        <v>6.391323577018642E-3</v>
      </c>
      <c r="F19" s="19"/>
      <c r="G19" s="20"/>
      <c r="H19" s="14"/>
      <c r="I19" s="19"/>
      <c r="J19" s="20"/>
      <c r="K19" s="14"/>
    </row>
    <row r="20" spans="1:11" ht="29.25" thickBot="1" x14ac:dyDescent="0.3">
      <c r="A20" s="15">
        <v>17</v>
      </c>
      <c r="B20" s="21" t="s">
        <v>14</v>
      </c>
      <c r="C20" s="22">
        <f t="shared" ref="C20:K20" si="9">C16+C17+C18+C19</f>
        <v>1079.3632363636361</v>
      </c>
      <c r="D20" s="23">
        <f t="shared" ca="1" si="9"/>
        <v>1083.9290650077378</v>
      </c>
      <c r="E20" s="23">
        <f t="shared" ca="1" si="9"/>
        <v>4.5658286441017157</v>
      </c>
      <c r="F20" s="22">
        <f t="shared" si="9"/>
        <v>1044.0300000000002</v>
      </c>
      <c r="G20" s="23">
        <f t="shared" si="9"/>
        <v>1052.9056293390761</v>
      </c>
      <c r="H20" s="23">
        <f t="shared" si="9"/>
        <v>8.875629339076033</v>
      </c>
      <c r="I20" s="22">
        <f t="shared" si="9"/>
        <v>994.08999999999992</v>
      </c>
      <c r="J20" s="23">
        <f t="shared" si="9"/>
        <v>1002.1578697242292</v>
      </c>
      <c r="K20" s="23">
        <f t="shared" si="9"/>
        <v>8.0578697242291035</v>
      </c>
    </row>
    <row r="23" spans="1:11" x14ac:dyDescent="0.25">
      <c r="E23" s="25"/>
    </row>
    <row r="24" spans="1:11" x14ac:dyDescent="0.25">
      <c r="E24" s="25"/>
    </row>
    <row r="25" spans="1:11" x14ac:dyDescent="0.25">
      <c r="A25" s="126" t="s">
        <v>66</v>
      </c>
      <c r="B25" s="126" t="s">
        <v>15</v>
      </c>
      <c r="C25" s="127" t="s">
        <v>67</v>
      </c>
      <c r="E25" s="25"/>
    </row>
    <row r="26" spans="1:11" ht="30" x14ac:dyDescent="0.25">
      <c r="A26" s="26">
        <v>1</v>
      </c>
      <c r="B26" s="6" t="s">
        <v>76</v>
      </c>
      <c r="C26" s="27">
        <f ca="1">E16+H16+K16</f>
        <v>14.680947312181694</v>
      </c>
      <c r="D26" s="28"/>
      <c r="E26" s="25"/>
    </row>
    <row r="27" spans="1:11" x14ac:dyDescent="0.25">
      <c r="A27" s="26">
        <v>2</v>
      </c>
      <c r="B27" s="6" t="s">
        <v>68</v>
      </c>
      <c r="C27" s="27">
        <f ca="1">'Carrying Cost'!K9</f>
        <v>6.7909577496850702</v>
      </c>
      <c r="D27" s="28"/>
      <c r="E27" s="25"/>
    </row>
    <row r="28" spans="1:11" ht="30" x14ac:dyDescent="0.25">
      <c r="A28" s="26">
        <v>3</v>
      </c>
      <c r="B28" s="6" t="s">
        <v>94</v>
      </c>
      <c r="C28" s="27">
        <f ca="1">E18+H18+K18</f>
        <v>2.1031321963070226E-2</v>
      </c>
      <c r="D28" s="28"/>
      <c r="E28" s="25"/>
    </row>
    <row r="29" spans="1:11" ht="30" x14ac:dyDescent="0.25">
      <c r="A29" s="26">
        <v>4</v>
      </c>
      <c r="B29" s="6" t="s">
        <v>69</v>
      </c>
      <c r="C29" s="27">
        <f ca="1">'Carrying Cost'!K19</f>
        <v>6.391323577018642E-3</v>
      </c>
      <c r="D29" s="28"/>
      <c r="E29" s="25"/>
    </row>
    <row r="30" spans="1:11" ht="30" x14ac:dyDescent="0.25">
      <c r="A30" s="26">
        <v>5</v>
      </c>
      <c r="B30" s="6" t="s">
        <v>93</v>
      </c>
      <c r="C30" s="27">
        <f ca="1">(E20+'Carrying Cost'!K6+'ARR Comparison'!C29)/(1-17.472%)-(E20+'Carrying Cost'!K6+'ARR Comparison'!C29)</f>
        <v>1.31658599503284</v>
      </c>
      <c r="D30" s="28"/>
      <c r="E30" s="25"/>
    </row>
    <row r="31" spans="1:11" ht="28.5" x14ac:dyDescent="0.25">
      <c r="A31" s="29">
        <v>6</v>
      </c>
      <c r="B31" s="30" t="s">
        <v>92</v>
      </c>
      <c r="C31" s="31">
        <f ca="1">SUM(C26:C30)</f>
        <v>22.815913702439694</v>
      </c>
      <c r="D31" s="28"/>
      <c r="E31" s="25"/>
    </row>
  </sheetData>
  <mergeCells count="6">
    <mergeCell ref="I2:K2"/>
    <mergeCell ref="A1:B1"/>
    <mergeCell ref="A2:A3"/>
    <mergeCell ref="B2:B3"/>
    <mergeCell ref="C2:E2"/>
    <mergeCell ref="F2:H2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437B-DCA6-4BC0-8432-D107106447E8}">
  <sheetPr>
    <pageSetUpPr fitToPage="1"/>
  </sheetPr>
  <dimension ref="A1:K16"/>
  <sheetViews>
    <sheetView showGridLines="0" view="pageBreakPreview" zoomScale="90" zoomScaleNormal="90" zoomScaleSheetLayoutView="90" workbookViewId="0">
      <selection activeCell="C13" sqref="C13:H17"/>
    </sheetView>
  </sheetViews>
  <sheetFormatPr defaultColWidth="8.796875" defaultRowHeight="15" x14ac:dyDescent="0.25"/>
  <cols>
    <col min="1" max="1" width="8.796875" style="3"/>
    <col min="2" max="2" width="24.3984375" style="3" bestFit="1" customWidth="1"/>
    <col min="3" max="8" width="12.19921875" style="3" customWidth="1"/>
    <col min="9" max="9" width="8.796875" style="3"/>
    <col min="10" max="10" width="11.69921875" style="3" customWidth="1"/>
    <col min="11" max="11" width="11.19921875" style="3" customWidth="1"/>
    <col min="12" max="16384" width="8.796875" style="3"/>
  </cols>
  <sheetData>
    <row r="1" spans="1:11" ht="19.5" thickBot="1" x14ac:dyDescent="0.3">
      <c r="A1" s="143" t="s">
        <v>96</v>
      </c>
      <c r="B1" s="143"/>
    </row>
    <row r="2" spans="1:11" x14ac:dyDescent="0.25">
      <c r="A2" s="144"/>
      <c r="B2" s="146" t="s">
        <v>15</v>
      </c>
      <c r="C2" s="141" t="s">
        <v>71</v>
      </c>
      <c r="D2" s="142"/>
      <c r="E2" s="141" t="s">
        <v>72</v>
      </c>
      <c r="F2" s="142"/>
      <c r="G2" s="141" t="s">
        <v>73</v>
      </c>
      <c r="H2" s="142"/>
    </row>
    <row r="3" spans="1:11" ht="28.5" x14ac:dyDescent="0.25">
      <c r="A3" s="145"/>
      <c r="B3" s="147"/>
      <c r="C3" s="124" t="s">
        <v>78</v>
      </c>
      <c r="D3" s="125" t="s">
        <v>77</v>
      </c>
      <c r="E3" s="124" t="s">
        <v>78</v>
      </c>
      <c r="F3" s="125" t="s">
        <v>77</v>
      </c>
      <c r="G3" s="124" t="s">
        <v>78</v>
      </c>
      <c r="H3" s="125" t="s">
        <v>77</v>
      </c>
    </row>
    <row r="4" spans="1:11" x14ac:dyDescent="0.25">
      <c r="A4" s="47"/>
      <c r="B4" s="48"/>
      <c r="C4" s="8"/>
      <c r="D4" s="10"/>
      <c r="E4" s="8"/>
      <c r="F4" s="10"/>
      <c r="G4" s="8"/>
      <c r="H4" s="10"/>
    </row>
    <row r="5" spans="1:11" x14ac:dyDescent="0.25">
      <c r="A5" s="51">
        <v>1</v>
      </c>
      <c r="B5" s="52" t="s">
        <v>83</v>
      </c>
      <c r="C5" s="13">
        <v>5778.51</v>
      </c>
      <c r="D5" s="61">
        <f>C5</f>
        <v>5778.51</v>
      </c>
      <c r="E5" s="13">
        <f>C8</f>
        <v>5779.02</v>
      </c>
      <c r="F5" s="61">
        <f>D8</f>
        <v>5810.33</v>
      </c>
      <c r="G5" s="13">
        <f>E8</f>
        <v>5779.9500000000007</v>
      </c>
      <c r="H5" s="13">
        <f>F8</f>
        <v>5811.26</v>
      </c>
    </row>
    <row r="6" spans="1:11" x14ac:dyDescent="0.25">
      <c r="A6" s="51">
        <v>2</v>
      </c>
      <c r="B6" s="48" t="s">
        <v>18</v>
      </c>
      <c r="C6" s="13">
        <v>0.51</v>
      </c>
      <c r="D6" s="61">
        <f>C6+31.31</f>
        <v>31.82</v>
      </c>
      <c r="E6" s="13">
        <v>0.93</v>
      </c>
      <c r="F6" s="61">
        <f>E6</f>
        <v>0.93</v>
      </c>
      <c r="G6" s="13">
        <v>6.01</v>
      </c>
      <c r="H6" s="61">
        <f>G6</f>
        <v>6.01</v>
      </c>
    </row>
    <row r="7" spans="1:11" x14ac:dyDescent="0.25">
      <c r="A7" s="51">
        <v>3</v>
      </c>
      <c r="B7" s="52" t="s">
        <v>79</v>
      </c>
      <c r="C7" s="13">
        <v>0</v>
      </c>
      <c r="D7" s="61">
        <f>C7</f>
        <v>0</v>
      </c>
      <c r="E7" s="13">
        <v>0</v>
      </c>
      <c r="F7" s="61">
        <v>0</v>
      </c>
      <c r="G7" s="13">
        <v>0.04</v>
      </c>
      <c r="H7" s="61">
        <v>0.04</v>
      </c>
    </row>
    <row r="8" spans="1:11" x14ac:dyDescent="0.25">
      <c r="A8" s="51">
        <v>4</v>
      </c>
      <c r="B8" s="52" t="s">
        <v>84</v>
      </c>
      <c r="C8" s="13">
        <f>C5+C6-C7</f>
        <v>5779.02</v>
      </c>
      <c r="D8" s="13">
        <f>D5+D6-D7</f>
        <v>5810.33</v>
      </c>
      <c r="E8" s="13">
        <f t="shared" ref="E8:H8" si="0">E5+E6-E7</f>
        <v>5779.9500000000007</v>
      </c>
      <c r="F8" s="13">
        <f t="shared" si="0"/>
        <v>5811.26</v>
      </c>
      <c r="G8" s="13">
        <f t="shared" si="0"/>
        <v>5785.920000000001</v>
      </c>
      <c r="H8" s="13">
        <f t="shared" si="0"/>
        <v>5817.2300000000005</v>
      </c>
      <c r="J8" s="81"/>
      <c r="K8" s="81"/>
    </row>
    <row r="9" spans="1:11" x14ac:dyDescent="0.25">
      <c r="A9" s="51">
        <v>5</v>
      </c>
      <c r="B9" s="52" t="s">
        <v>80</v>
      </c>
      <c r="C9" s="82">
        <v>5.2565000000000001E-2</v>
      </c>
      <c r="D9" s="83">
        <f>D11/D10</f>
        <v>5.256563490823931E-2</v>
      </c>
      <c r="E9" s="82">
        <v>5.2562999999999999E-2</v>
      </c>
      <c r="F9" s="83">
        <f>F11/F10</f>
        <v>5.2564277014590946E-2</v>
      </c>
      <c r="G9" s="82">
        <v>5.2560999999999997E-2</v>
      </c>
      <c r="H9" s="83">
        <f>H11/H10</f>
        <v>5.256228702694847E-2</v>
      </c>
    </row>
    <row r="10" spans="1:11" x14ac:dyDescent="0.25">
      <c r="A10" s="51">
        <v>6</v>
      </c>
      <c r="B10" s="52" t="s">
        <v>82</v>
      </c>
      <c r="C10" s="13">
        <f t="shared" ref="C10:H10" si="1">(C5+C8)/2</f>
        <v>5778.7650000000003</v>
      </c>
      <c r="D10" s="13">
        <f t="shared" si="1"/>
        <v>5794.42</v>
      </c>
      <c r="E10" s="13">
        <f t="shared" si="1"/>
        <v>5779.4850000000006</v>
      </c>
      <c r="F10" s="13">
        <f t="shared" si="1"/>
        <v>5810.7950000000001</v>
      </c>
      <c r="G10" s="13">
        <f t="shared" si="1"/>
        <v>5782.9350000000013</v>
      </c>
      <c r="H10" s="13">
        <f t="shared" si="1"/>
        <v>5814.2450000000008</v>
      </c>
    </row>
    <row r="11" spans="1:11" x14ac:dyDescent="0.25">
      <c r="A11" s="63">
        <v>7</v>
      </c>
      <c r="B11" s="64" t="s">
        <v>81</v>
      </c>
      <c r="C11" s="17">
        <f>C10*C9</f>
        <v>303.76078222500001</v>
      </c>
      <c r="D11" s="132">
        <f>C11+(31.31*5.28%/2)</f>
        <v>304.58736622500004</v>
      </c>
      <c r="E11" s="17">
        <f>E10*E9</f>
        <v>303.78707005500002</v>
      </c>
      <c r="F11" s="132">
        <f>E11+(31.31*5.28%)</f>
        <v>305.44023805500001</v>
      </c>
      <c r="G11" s="17">
        <f>G10*G9</f>
        <v>303.95684653500007</v>
      </c>
      <c r="H11" s="132">
        <f>G11+(31.31*5.28%)</f>
        <v>305.61001453500006</v>
      </c>
    </row>
    <row r="13" spans="1:11" s="1" customFormat="1" ht="15.75" x14ac:dyDescent="0.25">
      <c r="D13" s="2"/>
      <c r="F13" s="2"/>
      <c r="H13" s="2"/>
      <c r="J13" s="2"/>
    </row>
    <row r="16" spans="1:11" x14ac:dyDescent="0.25">
      <c r="C16" s="28"/>
      <c r="D16" s="28"/>
      <c r="E16" s="28"/>
    </row>
  </sheetData>
  <mergeCells count="6">
    <mergeCell ref="G2:H2"/>
    <mergeCell ref="A1:B1"/>
    <mergeCell ref="A2:A3"/>
    <mergeCell ref="B2:B3"/>
    <mergeCell ref="C2:D2"/>
    <mergeCell ref="E2:F2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06EF-056E-4BD8-8389-326652FE7575}">
  <sheetPr>
    <pageSetUpPr fitToPage="1"/>
  </sheetPr>
  <dimension ref="A1:K15"/>
  <sheetViews>
    <sheetView showGridLines="0" view="pageBreakPreview" topLeftCell="B5" zoomScale="120" zoomScaleNormal="90" zoomScaleSheetLayoutView="120" workbookViewId="0">
      <selection activeCell="D15" sqref="D15:I15"/>
    </sheetView>
  </sheetViews>
  <sheetFormatPr defaultColWidth="8.796875" defaultRowHeight="15" x14ac:dyDescent="0.25"/>
  <cols>
    <col min="1" max="1" width="8.796875" style="3"/>
    <col min="2" max="2" width="24.3984375" style="3" bestFit="1" customWidth="1"/>
    <col min="3" max="8" width="12.19921875" style="3" customWidth="1"/>
    <col min="9" max="9" width="8.796875" style="3"/>
    <col min="10" max="10" width="11.69921875" style="3" customWidth="1"/>
    <col min="11" max="11" width="11.19921875" style="3" customWidth="1"/>
    <col min="12" max="16384" width="8.796875" style="3"/>
  </cols>
  <sheetData>
    <row r="1" spans="1:11" ht="19.5" thickBot="1" x14ac:dyDescent="0.3">
      <c r="A1" s="143" t="s">
        <v>97</v>
      </c>
      <c r="B1" s="143"/>
    </row>
    <row r="2" spans="1:11" x14ac:dyDescent="0.25">
      <c r="A2" s="150"/>
      <c r="B2" s="152" t="s">
        <v>15</v>
      </c>
      <c r="C2" s="148" t="s">
        <v>71</v>
      </c>
      <c r="D2" s="149"/>
      <c r="E2" s="148" t="s">
        <v>72</v>
      </c>
      <c r="F2" s="149"/>
      <c r="G2" s="148" t="s">
        <v>73</v>
      </c>
      <c r="H2" s="149"/>
    </row>
    <row r="3" spans="1:11" ht="28.5" x14ac:dyDescent="0.25">
      <c r="A3" s="151"/>
      <c r="B3" s="153"/>
      <c r="C3" s="4" t="s">
        <v>78</v>
      </c>
      <c r="D3" s="5" t="s">
        <v>77</v>
      </c>
      <c r="E3" s="4" t="s">
        <v>78</v>
      </c>
      <c r="F3" s="5" t="s">
        <v>77</v>
      </c>
      <c r="G3" s="4" t="s">
        <v>78</v>
      </c>
      <c r="H3" s="5" t="s">
        <v>77</v>
      </c>
    </row>
    <row r="4" spans="1:11" x14ac:dyDescent="0.25">
      <c r="A4" s="47"/>
      <c r="B4" s="48"/>
      <c r="C4" s="8"/>
      <c r="D4" s="10"/>
      <c r="E4" s="8"/>
      <c r="F4" s="10"/>
      <c r="G4" s="8"/>
      <c r="H4" s="10"/>
    </row>
    <row r="5" spans="1:11" x14ac:dyDescent="0.25">
      <c r="A5" s="51">
        <v>1</v>
      </c>
      <c r="B5" s="52" t="s">
        <v>17</v>
      </c>
      <c r="C5" s="13">
        <v>2676.97</v>
      </c>
      <c r="D5" s="61">
        <f>C5</f>
        <v>2676.97</v>
      </c>
      <c r="E5" s="13">
        <f>C8</f>
        <v>2373.5662177749996</v>
      </c>
      <c r="F5" s="61">
        <f>D8</f>
        <v>2394.6566337749996</v>
      </c>
      <c r="G5" s="13">
        <f>E8</f>
        <v>2070.4301477199992</v>
      </c>
      <c r="H5" s="13">
        <f>F8</f>
        <v>2089.8673957199994</v>
      </c>
    </row>
    <row r="6" spans="1:11" x14ac:dyDescent="0.25">
      <c r="A6" s="51">
        <v>2</v>
      </c>
      <c r="B6" s="48" t="s">
        <v>18</v>
      </c>
      <c r="C6" s="13">
        <f>Depreciation!C6*0.7</f>
        <v>0.35699999999999998</v>
      </c>
      <c r="D6" s="13">
        <f>Depreciation!D6*0.7</f>
        <v>22.273999999999997</v>
      </c>
      <c r="E6" s="13">
        <f>Depreciation!E6*0.7</f>
        <v>0.65100000000000002</v>
      </c>
      <c r="F6" s="13">
        <f>Depreciation!F6*0.7</f>
        <v>0.65100000000000002</v>
      </c>
      <c r="G6" s="13">
        <f>Depreciation!G6*0.7</f>
        <v>4.2069999999999999</v>
      </c>
      <c r="H6" s="13">
        <f>Depreciation!H6*0.7</f>
        <v>4.2069999999999999</v>
      </c>
    </row>
    <row r="7" spans="1:11" x14ac:dyDescent="0.25">
      <c r="A7" s="51">
        <v>3</v>
      </c>
      <c r="B7" s="52" t="s">
        <v>19</v>
      </c>
      <c r="C7" s="13">
        <f>Depreciation!C11</f>
        <v>303.76078222500001</v>
      </c>
      <c r="D7" s="13">
        <f>Depreciation!D11</f>
        <v>304.58736622500004</v>
      </c>
      <c r="E7" s="13">
        <f>Depreciation!E11</f>
        <v>303.78707005500002</v>
      </c>
      <c r="F7" s="13">
        <f>Depreciation!F11</f>
        <v>305.44023805500001</v>
      </c>
      <c r="G7" s="13">
        <f>Depreciation!G11</f>
        <v>303.95684653500007</v>
      </c>
      <c r="H7" s="13">
        <f>Depreciation!H11</f>
        <v>305.61001453500006</v>
      </c>
    </row>
    <row r="8" spans="1:11" x14ac:dyDescent="0.25">
      <c r="A8" s="51">
        <v>4</v>
      </c>
      <c r="B8" s="52" t="s">
        <v>20</v>
      </c>
      <c r="C8" s="13">
        <f>C5+C6-C7</f>
        <v>2373.5662177749996</v>
      </c>
      <c r="D8" s="13">
        <f>D5+D6-D7</f>
        <v>2394.6566337749996</v>
      </c>
      <c r="E8" s="13">
        <f t="shared" ref="E8:H8" si="0">E5+E6-E7</f>
        <v>2070.4301477199992</v>
      </c>
      <c r="F8" s="13">
        <f t="shared" si="0"/>
        <v>2089.8673957199994</v>
      </c>
      <c r="G8" s="13">
        <f t="shared" si="0"/>
        <v>1770.6803011849991</v>
      </c>
      <c r="H8" s="13">
        <f t="shared" si="0"/>
        <v>1788.4643811849992</v>
      </c>
      <c r="J8" s="81"/>
      <c r="K8" s="81"/>
    </row>
    <row r="9" spans="1:11" x14ac:dyDescent="0.25">
      <c r="A9" s="51">
        <v>5</v>
      </c>
      <c r="B9" s="52" t="s">
        <v>21</v>
      </c>
      <c r="C9" s="82">
        <v>0.12675</v>
      </c>
      <c r="D9" s="83">
        <f>C9</f>
        <v>0.12675</v>
      </c>
      <c r="E9" s="82">
        <v>0.12675</v>
      </c>
      <c r="F9" s="83">
        <f>E9</f>
        <v>0.12675</v>
      </c>
      <c r="G9" s="82">
        <v>0.12675</v>
      </c>
      <c r="H9" s="83">
        <f>G9</f>
        <v>0.12675</v>
      </c>
    </row>
    <row r="10" spans="1:11" x14ac:dyDescent="0.25">
      <c r="A10" s="51">
        <v>6</v>
      </c>
      <c r="B10" s="52" t="s">
        <v>22</v>
      </c>
      <c r="C10" s="13">
        <f t="shared" ref="C10:H10" si="1">(C5+C8)/2</f>
        <v>2525.2681088874997</v>
      </c>
      <c r="D10" s="13">
        <f t="shared" si="1"/>
        <v>2535.8133168874997</v>
      </c>
      <c r="E10" s="13">
        <f t="shared" si="1"/>
        <v>2221.9981827474994</v>
      </c>
      <c r="F10" s="13">
        <f t="shared" si="1"/>
        <v>2242.2620147474995</v>
      </c>
      <c r="G10" s="13">
        <f t="shared" si="1"/>
        <v>1920.5552244524993</v>
      </c>
      <c r="H10" s="13">
        <f t="shared" si="1"/>
        <v>1939.1658884524993</v>
      </c>
    </row>
    <row r="11" spans="1:11" x14ac:dyDescent="0.25">
      <c r="A11" s="51">
        <v>7</v>
      </c>
      <c r="B11" s="64" t="s">
        <v>23</v>
      </c>
      <c r="C11" s="13">
        <f>C10*C9</f>
        <v>320.07773280149058</v>
      </c>
      <c r="D11" s="13">
        <f t="shared" ref="D11:H11" si="2">D10*D9</f>
        <v>321.41433791549059</v>
      </c>
      <c r="E11" s="13">
        <f t="shared" si="2"/>
        <v>281.63826966324558</v>
      </c>
      <c r="F11" s="13">
        <f t="shared" si="2"/>
        <v>284.20671036924557</v>
      </c>
      <c r="G11" s="13">
        <f t="shared" si="2"/>
        <v>243.43037469935427</v>
      </c>
      <c r="H11" s="13">
        <f t="shared" si="2"/>
        <v>245.7892763613543</v>
      </c>
    </row>
    <row r="12" spans="1:11" x14ac:dyDescent="0.25">
      <c r="A12" s="51">
        <v>8</v>
      </c>
      <c r="B12" s="52" t="s">
        <v>91</v>
      </c>
      <c r="C12" s="13">
        <v>0.03</v>
      </c>
      <c r="D12" s="13">
        <f>C12</f>
        <v>0.03</v>
      </c>
      <c r="E12" s="13">
        <v>0.03</v>
      </c>
      <c r="F12" s="13">
        <f>E12</f>
        <v>0.03</v>
      </c>
      <c r="G12" s="13">
        <v>0.06</v>
      </c>
      <c r="H12" s="13">
        <v>0.06</v>
      </c>
    </row>
    <row r="13" spans="1:11" x14ac:dyDescent="0.25">
      <c r="A13" s="63">
        <v>9</v>
      </c>
      <c r="B13" s="64" t="s">
        <v>24</v>
      </c>
      <c r="C13" s="17">
        <f>C11+C12</f>
        <v>320.10773280149056</v>
      </c>
      <c r="D13" s="17">
        <f t="shared" ref="D13:H13" si="3">D11+D12</f>
        <v>321.44433791549056</v>
      </c>
      <c r="E13" s="17">
        <f t="shared" si="3"/>
        <v>281.66826966324555</v>
      </c>
      <c r="F13" s="17">
        <f t="shared" si="3"/>
        <v>284.23671036924554</v>
      </c>
      <c r="G13" s="17">
        <f t="shared" si="3"/>
        <v>243.49037469935428</v>
      </c>
      <c r="H13" s="17">
        <f t="shared" si="3"/>
        <v>245.8492763613543</v>
      </c>
    </row>
    <row r="15" spans="1:11" s="1" customFormat="1" ht="15.75" x14ac:dyDescent="0.25">
      <c r="D15" s="2"/>
      <c r="F15" s="2"/>
      <c r="H15" s="2"/>
      <c r="J15" s="2"/>
    </row>
  </sheetData>
  <mergeCells count="6">
    <mergeCell ref="G2:H2"/>
    <mergeCell ref="A1:B1"/>
    <mergeCell ref="A2:A3"/>
    <mergeCell ref="B2:B3"/>
    <mergeCell ref="C2:D2"/>
    <mergeCell ref="E2:F2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4CC2-12AF-43C1-A2E2-E2E476CA2099}">
  <sheetPr>
    <pageSetUpPr fitToPage="1"/>
  </sheetPr>
  <dimension ref="A1:H22"/>
  <sheetViews>
    <sheetView showGridLines="0" view="pageBreakPreview" topLeftCell="A10" zoomScale="90" zoomScaleNormal="90" zoomScaleSheetLayoutView="90" workbookViewId="0">
      <selection activeCell="F28" sqref="F28"/>
    </sheetView>
  </sheetViews>
  <sheetFormatPr defaultColWidth="8.796875" defaultRowHeight="15" x14ac:dyDescent="0.25"/>
  <cols>
    <col min="1" max="1" width="8.796875" style="3"/>
    <col min="2" max="2" width="30" style="3" customWidth="1"/>
    <col min="3" max="8" width="12.19921875" style="3" customWidth="1"/>
    <col min="9" max="16384" width="8.796875" style="3"/>
  </cols>
  <sheetData>
    <row r="1" spans="1:8" ht="19.5" thickBot="1" x14ac:dyDescent="0.3">
      <c r="A1" s="143" t="s">
        <v>98</v>
      </c>
      <c r="B1" s="143"/>
    </row>
    <row r="2" spans="1:8" x14ac:dyDescent="0.25">
      <c r="A2" s="150"/>
      <c r="B2" s="152" t="s">
        <v>15</v>
      </c>
      <c r="C2" s="148" t="s">
        <v>71</v>
      </c>
      <c r="D2" s="149"/>
      <c r="E2" s="148" t="s">
        <v>72</v>
      </c>
      <c r="F2" s="149"/>
      <c r="G2" s="148" t="s">
        <v>73</v>
      </c>
      <c r="H2" s="149"/>
    </row>
    <row r="3" spans="1:8" ht="28.5" x14ac:dyDescent="0.25">
      <c r="A3" s="151"/>
      <c r="B3" s="153"/>
      <c r="C3" s="4" t="s">
        <v>78</v>
      </c>
      <c r="D3" s="5" t="s">
        <v>77</v>
      </c>
      <c r="E3" s="4" t="s">
        <v>78</v>
      </c>
      <c r="F3" s="5" t="s">
        <v>77</v>
      </c>
      <c r="G3" s="4" t="s">
        <v>78</v>
      </c>
      <c r="H3" s="5" t="s">
        <v>77</v>
      </c>
    </row>
    <row r="4" spans="1:8" x14ac:dyDescent="0.25">
      <c r="A4" s="84">
        <v>1</v>
      </c>
      <c r="B4" s="85" t="s">
        <v>25</v>
      </c>
      <c r="C4" s="8"/>
      <c r="D4" s="10"/>
      <c r="E4" s="8"/>
      <c r="F4" s="10"/>
      <c r="G4" s="8"/>
      <c r="H4" s="10"/>
    </row>
    <row r="5" spans="1:8" ht="30" x14ac:dyDescent="0.25">
      <c r="A5" s="86">
        <v>1.1000000000000001</v>
      </c>
      <c r="B5" s="87" t="s">
        <v>26</v>
      </c>
      <c r="C5" s="88">
        <v>8.94</v>
      </c>
      <c r="D5" s="89">
        <f>C5</f>
        <v>8.94</v>
      </c>
      <c r="E5" s="90">
        <v>8.98</v>
      </c>
      <c r="F5" s="89">
        <f>E5</f>
        <v>8.98</v>
      </c>
      <c r="G5" s="90">
        <v>9.3000000000000007</v>
      </c>
      <c r="H5" s="89">
        <f>G5</f>
        <v>9.3000000000000007</v>
      </c>
    </row>
    <row r="6" spans="1:8" ht="45" x14ac:dyDescent="0.25">
      <c r="A6" s="86">
        <v>1.2000000000000002</v>
      </c>
      <c r="B6" s="87" t="s">
        <v>27</v>
      </c>
      <c r="C6" s="91">
        <f>Depreciation!C5*1%</f>
        <v>57.7851</v>
      </c>
      <c r="D6" s="91">
        <f>Depreciation!D5*1%</f>
        <v>57.7851</v>
      </c>
      <c r="E6" s="91">
        <f>Depreciation!E5*1%</f>
        <v>57.790200000000006</v>
      </c>
      <c r="F6" s="91">
        <f>Depreciation!F5*1%</f>
        <v>58.103299999999997</v>
      </c>
      <c r="G6" s="91">
        <f>Depreciation!G5*1%</f>
        <v>57.799500000000009</v>
      </c>
      <c r="H6" s="91">
        <f>Depreciation!H5*1%</f>
        <v>58.1126</v>
      </c>
    </row>
    <row r="7" spans="1:8" ht="30" x14ac:dyDescent="0.25">
      <c r="A7" s="86">
        <v>1.3000000000000003</v>
      </c>
      <c r="B7" s="87" t="s">
        <v>28</v>
      </c>
      <c r="C7" s="91">
        <v>121.95</v>
      </c>
      <c r="D7" s="92">
        <f>C7</f>
        <v>121.95</v>
      </c>
      <c r="E7" s="90">
        <v>121.67</v>
      </c>
      <c r="F7" s="92">
        <f>E7</f>
        <v>121.67</v>
      </c>
      <c r="G7" s="90">
        <v>118.36</v>
      </c>
      <c r="H7" s="92">
        <f>G7</f>
        <v>118.36</v>
      </c>
    </row>
    <row r="8" spans="1:8" ht="15.75" x14ac:dyDescent="0.25">
      <c r="A8" s="86"/>
      <c r="B8" s="87" t="s">
        <v>29</v>
      </c>
      <c r="C8" s="93"/>
      <c r="D8" s="94"/>
      <c r="E8" s="90"/>
      <c r="F8" s="95"/>
      <c r="G8" s="90"/>
      <c r="H8" s="95"/>
    </row>
    <row r="9" spans="1:8" ht="15.75" x14ac:dyDescent="0.25">
      <c r="A9" s="86">
        <v>1.4000000000000004</v>
      </c>
      <c r="B9" s="87" t="s">
        <v>30</v>
      </c>
      <c r="C9" s="93"/>
      <c r="D9" s="94"/>
      <c r="E9" s="90"/>
      <c r="F9" s="95"/>
      <c r="G9" s="90"/>
      <c r="H9" s="95"/>
    </row>
    <row r="10" spans="1:8" ht="15.75" x14ac:dyDescent="0.25">
      <c r="A10" s="96" t="s">
        <v>31</v>
      </c>
      <c r="B10" s="87" t="s">
        <v>32</v>
      </c>
      <c r="C10" s="97">
        <v>0</v>
      </c>
      <c r="D10" s="98">
        <v>0</v>
      </c>
      <c r="E10" s="90">
        <v>0</v>
      </c>
      <c r="F10" s="95">
        <v>0</v>
      </c>
      <c r="G10" s="90">
        <v>0</v>
      </c>
      <c r="H10" s="95">
        <v>0</v>
      </c>
    </row>
    <row r="11" spans="1:8" ht="15.75" x14ac:dyDescent="0.25">
      <c r="A11" s="86"/>
      <c r="B11" s="87"/>
      <c r="C11" s="93"/>
      <c r="D11" s="94"/>
      <c r="E11" s="99"/>
      <c r="F11" s="100"/>
      <c r="G11" s="99"/>
      <c r="H11" s="100"/>
    </row>
    <row r="12" spans="1:8" ht="15.75" x14ac:dyDescent="0.25">
      <c r="A12" s="101"/>
      <c r="B12" s="102" t="s">
        <v>33</v>
      </c>
      <c r="C12" s="103">
        <f>SUM(C5:C7)-0.01</f>
        <v>188.6651</v>
      </c>
      <c r="D12" s="104">
        <f t="shared" ref="D12:H12" si="0">SUM(D5:D7)</f>
        <v>188.67509999999999</v>
      </c>
      <c r="E12" s="103">
        <f t="shared" si="0"/>
        <v>188.4402</v>
      </c>
      <c r="F12" s="104">
        <f t="shared" si="0"/>
        <v>188.7533</v>
      </c>
      <c r="G12" s="103">
        <f t="shared" si="0"/>
        <v>185.45949999999999</v>
      </c>
      <c r="H12" s="104">
        <f t="shared" si="0"/>
        <v>185.77260000000001</v>
      </c>
    </row>
    <row r="13" spans="1:8" ht="15.75" x14ac:dyDescent="0.25">
      <c r="A13" s="86"/>
      <c r="B13" s="87"/>
      <c r="C13" s="93"/>
      <c r="D13" s="94"/>
      <c r="E13" s="105"/>
      <c r="F13" s="106"/>
      <c r="G13" s="105"/>
      <c r="H13" s="106"/>
    </row>
    <row r="14" spans="1:8" ht="15.75" x14ac:dyDescent="0.25">
      <c r="A14" s="84">
        <v>2</v>
      </c>
      <c r="B14" s="85" t="s">
        <v>34</v>
      </c>
      <c r="C14" s="107"/>
      <c r="D14" s="108"/>
      <c r="E14" s="107"/>
      <c r="F14" s="108"/>
      <c r="G14" s="107"/>
      <c r="H14" s="108"/>
    </row>
    <row r="15" spans="1:8" ht="15.75" x14ac:dyDescent="0.25">
      <c r="A15" s="86">
        <v>2.1</v>
      </c>
      <c r="B15" s="87" t="s">
        <v>35</v>
      </c>
      <c r="C15" s="109">
        <v>9.6579999999999999E-2</v>
      </c>
      <c r="D15" s="110">
        <f>C15</f>
        <v>9.6579999999999999E-2</v>
      </c>
      <c r="E15" s="111">
        <v>8.5699999999999998E-2</v>
      </c>
      <c r="F15" s="112">
        <f>E15</f>
        <v>8.5699999999999998E-2</v>
      </c>
      <c r="G15" s="111">
        <v>8.5000000000000006E-2</v>
      </c>
      <c r="H15" s="112">
        <f>G15</f>
        <v>8.5000000000000006E-2</v>
      </c>
    </row>
    <row r="16" spans="1:8" ht="15.75" x14ac:dyDescent="0.25">
      <c r="A16" s="101">
        <v>2.2000000000000002</v>
      </c>
      <c r="B16" s="102" t="s">
        <v>36</v>
      </c>
      <c r="C16" s="113">
        <f t="shared" ref="C16:E16" si="1">C12*C15</f>
        <v>18.221275358</v>
      </c>
      <c r="D16" s="114">
        <f t="shared" si="1"/>
        <v>18.222241157999999</v>
      </c>
      <c r="E16" s="113">
        <f t="shared" si="1"/>
        <v>16.149325139999998</v>
      </c>
      <c r="F16" s="114">
        <f t="shared" ref="F16:G16" si="2">F12*F15</f>
        <v>16.176157809999999</v>
      </c>
      <c r="G16" s="113">
        <f t="shared" si="2"/>
        <v>15.7640575</v>
      </c>
      <c r="H16" s="114">
        <f t="shared" ref="H16" si="3">H12*H15</f>
        <v>15.790671000000001</v>
      </c>
    </row>
    <row r="17" spans="1:8" ht="15.75" x14ac:dyDescent="0.25">
      <c r="A17" s="86"/>
      <c r="B17" s="87"/>
      <c r="C17" s="115"/>
      <c r="D17" s="116"/>
      <c r="E17" s="117"/>
      <c r="F17" s="118"/>
      <c r="G17" s="117"/>
      <c r="H17" s="118"/>
    </row>
    <row r="18" spans="1:8" ht="15.75" x14ac:dyDescent="0.25">
      <c r="A18" s="84">
        <v>3</v>
      </c>
      <c r="B18" s="85" t="s">
        <v>37</v>
      </c>
      <c r="C18" s="107"/>
      <c r="D18" s="108"/>
      <c r="E18" s="107"/>
      <c r="F18" s="108"/>
      <c r="G18" s="107"/>
      <c r="H18" s="108"/>
    </row>
    <row r="19" spans="1:8" ht="15.75" x14ac:dyDescent="0.25">
      <c r="A19" s="86">
        <v>3.1</v>
      </c>
      <c r="B19" s="87" t="s">
        <v>38</v>
      </c>
      <c r="C19" s="113">
        <v>14.6</v>
      </c>
      <c r="D19" s="114">
        <v>14.6</v>
      </c>
      <c r="E19" s="113">
        <v>23.12</v>
      </c>
      <c r="F19" s="114">
        <v>23.12</v>
      </c>
      <c r="G19" s="113">
        <v>26.21</v>
      </c>
      <c r="H19" s="114">
        <f>G19</f>
        <v>26.21</v>
      </c>
    </row>
    <row r="20" spans="1:8" ht="15.75" x14ac:dyDescent="0.25">
      <c r="A20" s="86">
        <v>3.2</v>
      </c>
      <c r="B20" s="87" t="s">
        <v>0</v>
      </c>
      <c r="C20" s="119">
        <f t="shared" ref="C20:D20" si="4">C16-C19</f>
        <v>3.6212753580000001</v>
      </c>
      <c r="D20" s="120">
        <f t="shared" si="4"/>
        <v>3.6222411579999996</v>
      </c>
      <c r="E20" s="119">
        <f t="shared" ref="E20:H20" si="5">E16-E19</f>
        <v>-6.9706748600000026</v>
      </c>
      <c r="F20" s="120">
        <f t="shared" si="5"/>
        <v>-6.9438421900000016</v>
      </c>
      <c r="G20" s="119">
        <f t="shared" si="5"/>
        <v>-10.445942500000001</v>
      </c>
      <c r="H20" s="120">
        <f t="shared" si="5"/>
        <v>-10.419328999999999</v>
      </c>
    </row>
    <row r="21" spans="1:8" x14ac:dyDescent="0.25">
      <c r="A21" s="86">
        <v>3.3</v>
      </c>
      <c r="B21" s="87" t="s">
        <v>39</v>
      </c>
      <c r="C21" s="117">
        <f>IF(C20&gt;0,C20/3,C20*2/3)</f>
        <v>1.2070917860000001</v>
      </c>
      <c r="D21" s="118">
        <f t="shared" ref="D21" si="6">IF(D20&gt;0,D20/3,D20*2/3)</f>
        <v>1.2074137193333332</v>
      </c>
      <c r="E21" s="117">
        <f>IF(E20&gt;0,E20/3,E20*2/3)</f>
        <v>-4.6471165733333351</v>
      </c>
      <c r="F21" s="118">
        <f t="shared" ref="F21" si="7">IF(F20&gt;0,F20/3,F20*2/3)</f>
        <v>-4.6292281266666677</v>
      </c>
      <c r="G21" s="117">
        <f>IF(G20&gt;0,G20/3,G20*2/3)</f>
        <v>-6.963961666666667</v>
      </c>
      <c r="H21" s="118">
        <f t="shared" ref="H21" si="8">IF(H20&gt;0,H20/3,H20*2/3)</f>
        <v>-6.9462193333333326</v>
      </c>
    </row>
    <row r="22" spans="1:8" ht="16.5" thickBot="1" x14ac:dyDescent="0.3">
      <c r="A22" s="121">
        <v>3.4</v>
      </c>
      <c r="B22" s="122" t="s">
        <v>40</v>
      </c>
      <c r="C22" s="123">
        <f t="shared" ref="C22:H22" si="9">C19+C21</f>
        <v>15.807091785999999</v>
      </c>
      <c r="D22" s="123">
        <f t="shared" si="9"/>
        <v>15.807413719333333</v>
      </c>
      <c r="E22" s="123">
        <f t="shared" si="9"/>
        <v>18.472883426666666</v>
      </c>
      <c r="F22" s="123">
        <f t="shared" si="9"/>
        <v>18.490771873333333</v>
      </c>
      <c r="G22" s="123">
        <f t="shared" si="9"/>
        <v>19.246038333333335</v>
      </c>
      <c r="H22" s="123">
        <f t="shared" si="9"/>
        <v>19.263780666666669</v>
      </c>
    </row>
  </sheetData>
  <mergeCells count="6">
    <mergeCell ref="G2:H2"/>
    <mergeCell ref="A1:B1"/>
    <mergeCell ref="A2:A3"/>
    <mergeCell ref="B2:B3"/>
    <mergeCell ref="C2:D2"/>
    <mergeCell ref="E2:F2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01B-4583-4B9C-B1CE-37A71F3BC651}">
  <sheetPr>
    <pageSetUpPr fitToPage="1"/>
  </sheetPr>
  <dimension ref="A1:K12"/>
  <sheetViews>
    <sheetView showGridLines="0" view="pageBreakPreview" zoomScale="110" zoomScaleNormal="90" zoomScaleSheetLayoutView="110" workbookViewId="0">
      <selection activeCell="D12" sqref="D12:H12"/>
    </sheetView>
  </sheetViews>
  <sheetFormatPr defaultColWidth="8.796875" defaultRowHeight="15" x14ac:dyDescent="0.25"/>
  <cols>
    <col min="1" max="1" width="8.796875" style="3"/>
    <col min="2" max="2" width="24.3984375" style="3" bestFit="1" customWidth="1"/>
    <col min="3" max="8" width="12.19921875" style="3" customWidth="1"/>
    <col min="9" max="9" width="8.796875" style="3"/>
    <col min="10" max="10" width="11.69921875" style="3" customWidth="1"/>
    <col min="11" max="11" width="11.19921875" style="3" customWidth="1"/>
    <col min="12" max="16384" width="8.796875" style="3"/>
  </cols>
  <sheetData>
    <row r="1" spans="1:11" ht="19.5" thickBot="1" x14ac:dyDescent="0.3">
      <c r="A1" s="143" t="s">
        <v>99</v>
      </c>
      <c r="B1" s="143"/>
    </row>
    <row r="2" spans="1:11" x14ac:dyDescent="0.25">
      <c r="A2" s="150"/>
      <c r="B2" s="152" t="s">
        <v>15</v>
      </c>
      <c r="C2" s="148" t="s">
        <v>71</v>
      </c>
      <c r="D2" s="149"/>
      <c r="E2" s="148" t="s">
        <v>72</v>
      </c>
      <c r="F2" s="149"/>
      <c r="G2" s="148" t="s">
        <v>73</v>
      </c>
      <c r="H2" s="149"/>
    </row>
    <row r="3" spans="1:11" ht="28.5" x14ac:dyDescent="0.25">
      <c r="A3" s="151"/>
      <c r="B3" s="153"/>
      <c r="C3" s="4" t="s">
        <v>78</v>
      </c>
      <c r="D3" s="5" t="s">
        <v>77</v>
      </c>
      <c r="E3" s="4" t="s">
        <v>78</v>
      </c>
      <c r="F3" s="5" t="s">
        <v>77</v>
      </c>
      <c r="G3" s="4" t="s">
        <v>78</v>
      </c>
      <c r="H3" s="5" t="s">
        <v>77</v>
      </c>
    </row>
    <row r="4" spans="1:11" x14ac:dyDescent="0.25">
      <c r="A4" s="47"/>
      <c r="B4" s="48"/>
      <c r="C4" s="8"/>
      <c r="D4" s="10"/>
      <c r="E4" s="8"/>
      <c r="F4" s="10"/>
      <c r="G4" s="8"/>
      <c r="H4" s="10"/>
    </row>
    <row r="5" spans="1:11" x14ac:dyDescent="0.25">
      <c r="A5" s="51">
        <v>1</v>
      </c>
      <c r="B5" s="52" t="s">
        <v>86</v>
      </c>
      <c r="C5" s="13">
        <f>Depreciation!C5*0.3</f>
        <v>1733.5530000000001</v>
      </c>
      <c r="D5" s="13">
        <f>Depreciation!D5*0.3</f>
        <v>1733.5530000000001</v>
      </c>
      <c r="E5" s="13">
        <f>Depreciation!E5*0.3</f>
        <v>1733.7060000000001</v>
      </c>
      <c r="F5" s="13">
        <f>Depreciation!F5*0.3</f>
        <v>1743.0989999999999</v>
      </c>
      <c r="G5" s="13">
        <f>Depreciation!G5*0.3</f>
        <v>1733.9850000000001</v>
      </c>
      <c r="H5" s="13">
        <f>Depreciation!H5*0.3</f>
        <v>1743.3779999999999</v>
      </c>
    </row>
    <row r="6" spans="1:11" x14ac:dyDescent="0.25">
      <c r="A6" s="51">
        <v>2</v>
      </c>
      <c r="B6" s="48" t="s">
        <v>18</v>
      </c>
      <c r="C6" s="13">
        <f>Depreciation!C6*0.3</f>
        <v>0.153</v>
      </c>
      <c r="D6" s="13">
        <f>Depreciation!D6*0.3</f>
        <v>9.5459999999999994</v>
      </c>
      <c r="E6" s="13">
        <f>Depreciation!E6*0.3</f>
        <v>0.27900000000000003</v>
      </c>
      <c r="F6" s="13">
        <f>Depreciation!F6*0.3</f>
        <v>0.27900000000000003</v>
      </c>
      <c r="G6" s="13">
        <f>Depreciation!G6*0.3</f>
        <v>1.8029999999999999</v>
      </c>
      <c r="H6" s="13">
        <f>Depreciation!H6*0.3</f>
        <v>1.8029999999999999</v>
      </c>
    </row>
    <row r="7" spans="1:11" x14ac:dyDescent="0.25">
      <c r="A7" s="51">
        <v>4</v>
      </c>
      <c r="B7" s="52" t="s">
        <v>87</v>
      </c>
      <c r="C7" s="13">
        <f>C5+C6</f>
        <v>1733.7060000000001</v>
      </c>
      <c r="D7" s="13">
        <f t="shared" ref="D7:H7" si="0">D5+D6</f>
        <v>1743.0990000000002</v>
      </c>
      <c r="E7" s="13">
        <f t="shared" si="0"/>
        <v>1733.9850000000001</v>
      </c>
      <c r="F7" s="13">
        <f t="shared" si="0"/>
        <v>1743.3779999999999</v>
      </c>
      <c r="G7" s="13">
        <f t="shared" si="0"/>
        <v>1735.7880000000002</v>
      </c>
      <c r="H7" s="13">
        <f t="shared" si="0"/>
        <v>1745.181</v>
      </c>
      <c r="J7" s="81"/>
      <c r="K7" s="81"/>
    </row>
    <row r="8" spans="1:11" x14ac:dyDescent="0.25">
      <c r="A8" s="51">
        <v>5</v>
      </c>
      <c r="B8" s="52" t="s">
        <v>88</v>
      </c>
      <c r="C8" s="82">
        <v>0.155</v>
      </c>
      <c r="D8" s="83">
        <f>C8</f>
        <v>0.155</v>
      </c>
      <c r="E8" s="82">
        <f>15.5%/(1-17.472%)</f>
        <v>0.18781504459092671</v>
      </c>
      <c r="F8" s="82">
        <f t="shared" ref="F8:H8" si="1">15.5%/(1-17.472%)</f>
        <v>0.18781504459092671</v>
      </c>
      <c r="G8" s="82">
        <f t="shared" si="1"/>
        <v>0.18781504459092671</v>
      </c>
      <c r="H8" s="82">
        <f t="shared" si="1"/>
        <v>0.18781504459092671</v>
      </c>
    </row>
    <row r="9" spans="1:11" x14ac:dyDescent="0.25">
      <c r="A9" s="51">
        <v>6</v>
      </c>
      <c r="B9" s="52" t="s">
        <v>89</v>
      </c>
      <c r="C9" s="13">
        <f>AVERAGE(C5,C7)</f>
        <v>1733.6295</v>
      </c>
      <c r="D9" s="13">
        <f t="shared" ref="D9:H9" si="2">AVERAGE(D5,D7)</f>
        <v>1738.326</v>
      </c>
      <c r="E9" s="13">
        <f t="shared" si="2"/>
        <v>1733.8455000000001</v>
      </c>
      <c r="F9" s="13">
        <f t="shared" si="2"/>
        <v>1743.2384999999999</v>
      </c>
      <c r="G9" s="13">
        <f t="shared" si="2"/>
        <v>1734.8865000000001</v>
      </c>
      <c r="H9" s="13">
        <f t="shared" si="2"/>
        <v>1744.2795000000001</v>
      </c>
    </row>
    <row r="10" spans="1:11" x14ac:dyDescent="0.25">
      <c r="A10" s="63">
        <v>7</v>
      </c>
      <c r="B10" s="64" t="s">
        <v>90</v>
      </c>
      <c r="C10" s="17">
        <f>C9*C8</f>
        <v>268.71257250000002</v>
      </c>
      <c r="D10" s="17">
        <f t="shared" ref="D10:H10" si="3">D9*D8</f>
        <v>269.44053000000002</v>
      </c>
      <c r="E10" s="17">
        <f t="shared" si="3"/>
        <v>325.64226989627764</v>
      </c>
      <c r="F10" s="17">
        <f t="shared" si="3"/>
        <v>327.40641661012017</v>
      </c>
      <c r="G10" s="17">
        <f t="shared" si="3"/>
        <v>325.83778535769676</v>
      </c>
      <c r="H10" s="17">
        <f t="shared" si="3"/>
        <v>327.60193207153935</v>
      </c>
    </row>
    <row r="12" spans="1:11" s="1" customFormat="1" ht="15.75" x14ac:dyDescent="0.25">
      <c r="D12" s="2"/>
      <c r="F12" s="2"/>
      <c r="H12" s="2"/>
      <c r="J12" s="2"/>
    </row>
  </sheetData>
  <mergeCells count="6">
    <mergeCell ref="G2:H2"/>
    <mergeCell ref="A1:B1"/>
    <mergeCell ref="A2:A3"/>
    <mergeCell ref="B2:B3"/>
    <mergeCell ref="C2:D2"/>
    <mergeCell ref="E2:F2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7793-19F4-4266-BEBB-51E62716367F}">
  <sheetPr>
    <pageSetUpPr fitToPage="1"/>
  </sheetPr>
  <dimension ref="A1:D16"/>
  <sheetViews>
    <sheetView showGridLines="0" view="pageBreakPreview" zoomScale="101" zoomScaleNormal="90" zoomScaleSheetLayoutView="101" workbookViewId="0">
      <selection activeCell="F28" sqref="F28"/>
    </sheetView>
  </sheetViews>
  <sheetFormatPr defaultColWidth="8.796875" defaultRowHeight="15" x14ac:dyDescent="0.25"/>
  <cols>
    <col min="1" max="1" width="8.796875" style="3"/>
    <col min="2" max="2" width="22" style="3" customWidth="1"/>
    <col min="3" max="4" width="12.19921875" style="3" customWidth="1"/>
    <col min="5" max="16384" width="8.796875" style="3"/>
  </cols>
  <sheetData>
    <row r="1" spans="1:4" ht="19.5" thickBot="1" x14ac:dyDescent="0.3">
      <c r="A1" s="143" t="s">
        <v>100</v>
      </c>
      <c r="B1" s="143"/>
    </row>
    <row r="2" spans="1:4" x14ac:dyDescent="0.25">
      <c r="A2" s="150"/>
      <c r="B2" s="152" t="s">
        <v>15</v>
      </c>
      <c r="C2" s="148" t="s">
        <v>71</v>
      </c>
      <c r="D2" s="149"/>
    </row>
    <row r="3" spans="1:4" ht="28.5" x14ac:dyDescent="0.25">
      <c r="A3" s="151"/>
      <c r="B3" s="153"/>
      <c r="C3" s="4" t="s">
        <v>78</v>
      </c>
      <c r="D3" s="5" t="s">
        <v>77</v>
      </c>
    </row>
    <row r="4" spans="1:4" x14ac:dyDescent="0.25">
      <c r="A4" s="47"/>
      <c r="B4" s="48"/>
      <c r="C4" s="8"/>
      <c r="D4" s="10"/>
    </row>
    <row r="5" spans="1:4" x14ac:dyDescent="0.25">
      <c r="A5" s="51">
        <v>1</v>
      </c>
      <c r="B5" s="52" t="s">
        <v>41</v>
      </c>
      <c r="C5" s="13">
        <v>272.95</v>
      </c>
      <c r="D5" s="61">
        <f>C5</f>
        <v>272.95</v>
      </c>
    </row>
    <row r="6" spans="1:4" x14ac:dyDescent="0.25">
      <c r="A6" s="51">
        <v>2</v>
      </c>
      <c r="B6" s="48" t="s">
        <v>42</v>
      </c>
      <c r="C6" s="13"/>
      <c r="D6" s="61"/>
    </row>
    <row r="7" spans="1:4" x14ac:dyDescent="0.25">
      <c r="A7" s="51">
        <v>3</v>
      </c>
      <c r="B7" s="52" t="s">
        <v>85</v>
      </c>
      <c r="C7" s="13">
        <v>0.42</v>
      </c>
      <c r="D7" s="61">
        <v>0.42</v>
      </c>
    </row>
    <row r="8" spans="1:4" x14ac:dyDescent="0.25">
      <c r="A8" s="51">
        <v>4</v>
      </c>
      <c r="B8" s="52" t="s">
        <v>43</v>
      </c>
      <c r="C8" s="13">
        <v>2.44</v>
      </c>
      <c r="D8" s="61">
        <f>C8</f>
        <v>2.44</v>
      </c>
    </row>
    <row r="9" spans="1:4" x14ac:dyDescent="0.25">
      <c r="A9" s="51">
        <v>5</v>
      </c>
      <c r="B9" s="52" t="s">
        <v>44</v>
      </c>
      <c r="C9" s="13">
        <v>7.79</v>
      </c>
      <c r="D9" s="62">
        <f ca="1">Incentive!D9</f>
        <v>7.8142676855994164</v>
      </c>
    </row>
    <row r="10" spans="1:4" x14ac:dyDescent="0.25">
      <c r="A10" s="51">
        <v>6</v>
      </c>
      <c r="B10" s="52" t="s">
        <v>45</v>
      </c>
      <c r="C10" s="13">
        <v>0.89</v>
      </c>
      <c r="D10" s="61">
        <f>C10</f>
        <v>0.89</v>
      </c>
    </row>
    <row r="11" spans="1:4" x14ac:dyDescent="0.25">
      <c r="A11" s="63">
        <v>7</v>
      </c>
      <c r="B11" s="64" t="s">
        <v>46</v>
      </c>
      <c r="C11" s="17">
        <f>C5-C7-C8-C9+C10</f>
        <v>263.18999999999994</v>
      </c>
      <c r="D11" s="65">
        <f t="shared" ref="D11" ca="1" si="0">D5-D7-D8-D9+D10</f>
        <v>263.16573231440054</v>
      </c>
    </row>
    <row r="12" spans="1:4" x14ac:dyDescent="0.25">
      <c r="A12" s="66"/>
      <c r="B12" s="67"/>
      <c r="C12" s="68"/>
      <c r="D12" s="69"/>
    </row>
    <row r="13" spans="1:4" x14ac:dyDescent="0.25">
      <c r="A13" s="70">
        <v>9</v>
      </c>
      <c r="B13" s="71" t="s">
        <v>47</v>
      </c>
      <c r="C13" s="72">
        <f>C11*C16</f>
        <v>45.986399129999988</v>
      </c>
      <c r="D13" s="73">
        <f t="shared" ref="D13" ca="1" si="1">D11*D16</f>
        <v>45.982158910098264</v>
      </c>
    </row>
    <row r="14" spans="1:4" x14ac:dyDescent="0.25">
      <c r="A14" s="74">
        <v>10</v>
      </c>
      <c r="B14" s="75" t="s">
        <v>48</v>
      </c>
      <c r="C14" s="74"/>
      <c r="D14" s="75"/>
    </row>
    <row r="15" spans="1:4" x14ac:dyDescent="0.25">
      <c r="A15" s="74">
        <v>11</v>
      </c>
      <c r="B15" s="75" t="s">
        <v>49</v>
      </c>
      <c r="C15" s="76">
        <f>C13-C14</f>
        <v>45.986399129999988</v>
      </c>
      <c r="D15" s="77">
        <f t="shared" ref="D15" ca="1" si="2">D13-D14</f>
        <v>45.982158910098264</v>
      </c>
    </row>
    <row r="16" spans="1:4" ht="15.75" thickBot="1" x14ac:dyDescent="0.3">
      <c r="A16" s="78">
        <v>12</v>
      </c>
      <c r="B16" s="79" t="s">
        <v>50</v>
      </c>
      <c r="C16" s="80">
        <v>0.17472699999999999</v>
      </c>
      <c r="D16" s="80">
        <v>0.17472699999999999</v>
      </c>
    </row>
  </sheetData>
  <mergeCells count="4">
    <mergeCell ref="A2:A3"/>
    <mergeCell ref="B2:B3"/>
    <mergeCell ref="C2:D2"/>
    <mergeCell ref="A1:B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E70A-B6F0-43D9-972E-C101582D73FD}">
  <sheetPr>
    <pageSetUpPr fitToPage="1"/>
  </sheetPr>
  <dimension ref="A1:D9"/>
  <sheetViews>
    <sheetView showGridLines="0" view="pageBreakPreview" zoomScale="90" zoomScaleNormal="90" zoomScaleSheetLayoutView="90" workbookViewId="0">
      <selection activeCell="F28" sqref="F28"/>
    </sheetView>
  </sheetViews>
  <sheetFormatPr defaultColWidth="8.796875" defaultRowHeight="15" x14ac:dyDescent="0.25"/>
  <cols>
    <col min="1" max="1" width="8.796875" style="3"/>
    <col min="2" max="2" width="30" style="3" customWidth="1"/>
    <col min="3" max="4" width="12.19921875" style="3" customWidth="1"/>
    <col min="5" max="16384" width="8.796875" style="3"/>
  </cols>
  <sheetData>
    <row r="1" spans="1:4" ht="19.5" thickBot="1" x14ac:dyDescent="0.3">
      <c r="A1" s="143" t="s">
        <v>101</v>
      </c>
      <c r="B1" s="143"/>
    </row>
    <row r="2" spans="1:4" x14ac:dyDescent="0.25">
      <c r="A2" s="150"/>
      <c r="B2" s="152" t="s">
        <v>15</v>
      </c>
      <c r="C2" s="154" t="s">
        <v>71</v>
      </c>
      <c r="D2" s="155"/>
    </row>
    <row r="3" spans="1:4" ht="28.5" x14ac:dyDescent="0.25">
      <c r="A3" s="151"/>
      <c r="B3" s="153"/>
      <c r="C3" s="4" t="s">
        <v>78</v>
      </c>
      <c r="D3" s="5" t="s">
        <v>77</v>
      </c>
    </row>
    <row r="4" spans="1:4" x14ac:dyDescent="0.25">
      <c r="A4" s="47"/>
      <c r="B4" s="48"/>
      <c r="C4" s="49"/>
      <c r="D4" s="50"/>
    </row>
    <row r="5" spans="1:4" x14ac:dyDescent="0.25">
      <c r="A5" s="51">
        <v>1</v>
      </c>
      <c r="B5" s="52" t="s">
        <v>51</v>
      </c>
      <c r="C5" s="53">
        <v>1071.57</v>
      </c>
      <c r="D5" s="54">
        <f ca="1">'ARR Comparison'!D16</f>
        <v>1074.4618067699221</v>
      </c>
    </row>
    <row r="6" spans="1:4" x14ac:dyDescent="0.25">
      <c r="A6" s="51">
        <v>2</v>
      </c>
      <c r="B6" s="48" t="s">
        <v>52</v>
      </c>
      <c r="C6" s="55">
        <v>0.99</v>
      </c>
      <c r="D6" s="56">
        <v>0.99</v>
      </c>
    </row>
    <row r="7" spans="1:4" x14ac:dyDescent="0.25">
      <c r="A7" s="51">
        <v>3</v>
      </c>
      <c r="B7" s="52" t="s">
        <v>53</v>
      </c>
      <c r="C7" s="55">
        <v>0.99719999999999998</v>
      </c>
      <c r="D7" s="56">
        <v>0.99719999999999998</v>
      </c>
    </row>
    <row r="8" spans="1:4" x14ac:dyDescent="0.25">
      <c r="A8" s="51">
        <v>4</v>
      </c>
      <c r="B8" s="52" t="s">
        <v>54</v>
      </c>
      <c r="C8" s="55">
        <v>0.99750000000000005</v>
      </c>
      <c r="D8" s="56">
        <v>0.99750000000000005</v>
      </c>
    </row>
    <row r="9" spans="1:4" ht="15.75" thickBot="1" x14ac:dyDescent="0.3">
      <c r="A9" s="57">
        <v>5</v>
      </c>
      <c r="B9" s="58" t="s">
        <v>55</v>
      </c>
      <c r="C9" s="59">
        <f>IF(C7&lt;=C8,C5*(C7-C6)/C6,C5*(C8-C6)/C6)</f>
        <v>7.7932363636363462</v>
      </c>
      <c r="D9" s="60">
        <f t="shared" ref="D9" ca="1" si="0">IF(D7&lt;=D8,D5*(D7-D6)/D6,D5*(D8-D6)/D6)</f>
        <v>7.8142676855994164</v>
      </c>
    </row>
  </sheetData>
  <mergeCells count="4">
    <mergeCell ref="A2:A3"/>
    <mergeCell ref="B2:B3"/>
    <mergeCell ref="C2:D2"/>
    <mergeCell ref="A1:B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3885-EB91-47CF-A509-22960A9DE88B}">
  <sheetPr>
    <pageSetUpPr fitToPage="1"/>
  </sheetPr>
  <dimension ref="A1:K19"/>
  <sheetViews>
    <sheetView showGridLines="0" view="pageBreakPreview" zoomScale="90" zoomScaleNormal="90" zoomScaleSheetLayoutView="90" workbookViewId="0">
      <selection activeCell="N7" sqref="N7"/>
    </sheetView>
  </sheetViews>
  <sheetFormatPr defaultColWidth="8.796875" defaultRowHeight="15" x14ac:dyDescent="0.25"/>
  <cols>
    <col min="1" max="1" width="3.59765625" style="37" customWidth="1"/>
    <col min="2" max="2" width="10.796875" style="37" customWidth="1"/>
    <col min="3" max="3" width="16.296875" style="37" bestFit="1" customWidth="1"/>
    <col min="4" max="16384" width="8.796875" style="37"/>
  </cols>
  <sheetData>
    <row r="1" spans="1:11" ht="18.75" x14ac:dyDescent="0.25">
      <c r="A1" s="158" t="s">
        <v>102</v>
      </c>
      <c r="B1" s="158"/>
      <c r="C1" s="158"/>
    </row>
    <row r="2" spans="1:11" x14ac:dyDescent="0.25">
      <c r="B2" s="32" t="s">
        <v>64</v>
      </c>
      <c r="C2" s="33"/>
      <c r="D2" s="34"/>
      <c r="E2" s="35"/>
      <c r="F2" s="35"/>
      <c r="G2" s="36"/>
      <c r="H2" s="36"/>
      <c r="I2" s="36"/>
      <c r="J2" s="35"/>
    </row>
    <row r="3" spans="1:11" x14ac:dyDescent="0.25">
      <c r="B3" s="128"/>
      <c r="C3" s="128"/>
      <c r="D3" s="129" t="s">
        <v>57</v>
      </c>
      <c r="E3" s="129" t="s">
        <v>58</v>
      </c>
      <c r="F3" s="129" t="s">
        <v>59</v>
      </c>
      <c r="G3" s="130" t="s">
        <v>60</v>
      </c>
      <c r="H3" s="130" t="s">
        <v>61</v>
      </c>
      <c r="I3" s="130" t="s">
        <v>74</v>
      </c>
      <c r="J3" s="130" t="s">
        <v>75</v>
      </c>
      <c r="K3" s="131" t="s">
        <v>63</v>
      </c>
    </row>
    <row r="4" spans="1:11" x14ac:dyDescent="0.25">
      <c r="B4" s="156" t="s">
        <v>62</v>
      </c>
      <c r="C4" s="157"/>
      <c r="D4" s="38">
        <v>9.6572404371584694E-2</v>
      </c>
      <c r="E4" s="38">
        <v>8.5726027397260277E-2</v>
      </c>
      <c r="F4" s="38">
        <v>8.5000000000000006E-2</v>
      </c>
      <c r="G4" s="38">
        <v>9.2987671232876712E-2</v>
      </c>
      <c r="H4" s="38">
        <v>0.10065163934426231</v>
      </c>
      <c r="I4" s="38">
        <v>0.1045</v>
      </c>
      <c r="J4" s="38">
        <v>0.1045</v>
      </c>
      <c r="K4" s="39"/>
    </row>
    <row r="5" spans="1:11" x14ac:dyDescent="0.25">
      <c r="B5" s="40"/>
      <c r="C5" s="41"/>
      <c r="D5" s="41"/>
      <c r="E5" s="41"/>
      <c r="F5" s="41"/>
      <c r="G5" s="41"/>
      <c r="H5" s="41"/>
      <c r="I5" s="41"/>
      <c r="J5" s="41"/>
      <c r="K5" s="39"/>
    </row>
    <row r="6" spans="1:11" x14ac:dyDescent="0.25">
      <c r="B6" s="42" t="s">
        <v>57</v>
      </c>
      <c r="C6" s="43">
        <f ca="1">'ARR Comparison'!E16</f>
        <v>2.891806769922237</v>
      </c>
      <c r="D6" s="44">
        <f ca="1">$C6*D$4/2</f>
        <v>0.13963436637470822</v>
      </c>
      <c r="E6" s="44">
        <f ca="1">$C6*E$4</f>
        <v>0.24790310638593643</v>
      </c>
      <c r="F6" s="44">
        <f t="shared" ref="F6:I8" ca="1" si="0">$C6*F$4</f>
        <v>0.24580357544339015</v>
      </c>
      <c r="G6" s="44">
        <f t="shared" ca="1" si="0"/>
        <v>0.26890237719053611</v>
      </c>
      <c r="H6" s="44">
        <f t="shared" ca="1" si="0"/>
        <v>0.29106509205950915</v>
      </c>
      <c r="I6" s="44">
        <f t="shared" ca="1" si="0"/>
        <v>0.30219380745687374</v>
      </c>
      <c r="J6" s="44">
        <f ca="1">$C6*J$4/2</f>
        <v>0.15109690372843687</v>
      </c>
      <c r="K6" s="45">
        <f ca="1">SUM(D6:J6)</f>
        <v>1.6465992286393907</v>
      </c>
    </row>
    <row r="7" spans="1:11" x14ac:dyDescent="0.25">
      <c r="B7" s="42" t="s">
        <v>58</v>
      </c>
      <c r="C7" s="43">
        <f>'ARR Comparison'!H16</f>
        <v>6.0041369076990385</v>
      </c>
      <c r="D7" s="44"/>
      <c r="E7" s="44">
        <f>$C7*E$4/2</f>
        <v>0.2573554025231547</v>
      </c>
      <c r="F7" s="44">
        <f t="shared" si="0"/>
        <v>0.51035163715441834</v>
      </c>
      <c r="G7" s="44">
        <f t="shared" si="0"/>
        <v>0.55831070881029921</v>
      </c>
      <c r="H7" s="44">
        <f t="shared" si="0"/>
        <v>0.60432622260729796</v>
      </c>
      <c r="I7" s="44">
        <f t="shared" si="0"/>
        <v>0.62743230685454954</v>
      </c>
      <c r="J7" s="44">
        <f>$C7*J$4/2</f>
        <v>0.31371615342727477</v>
      </c>
      <c r="K7" s="45">
        <f>SUM(D7:J7)</f>
        <v>2.8714924313769945</v>
      </c>
    </row>
    <row r="8" spans="1:11" x14ac:dyDescent="0.25">
      <c r="B8" s="42" t="s">
        <v>59</v>
      </c>
      <c r="C8" s="43">
        <f>'ARR Comparison'!K16</f>
        <v>5.7850036345604181</v>
      </c>
      <c r="D8" s="44"/>
      <c r="E8" s="44"/>
      <c r="F8" s="44">
        <f>$C8*F$4/2</f>
        <v>0.24586265446881778</v>
      </c>
      <c r="G8" s="44">
        <f t="shared" si="0"/>
        <v>0.53793401605150104</v>
      </c>
      <c r="H8" s="44">
        <f t="shared" si="0"/>
        <v>0.58227009943102181</v>
      </c>
      <c r="I8" s="44">
        <f t="shared" si="0"/>
        <v>0.60453287981156367</v>
      </c>
      <c r="J8" s="44">
        <f>$C8*J$4/2</f>
        <v>0.30226643990578184</v>
      </c>
      <c r="K8" s="45">
        <f>SUM(D8:J8)</f>
        <v>2.2728660896686859</v>
      </c>
    </row>
    <row r="9" spans="1:11" x14ac:dyDescent="0.25">
      <c r="K9" s="46">
        <f ca="1">SUM(K6:K8)</f>
        <v>6.7909577496850702</v>
      </c>
    </row>
    <row r="12" spans="1:11" x14ac:dyDescent="0.25">
      <c r="B12" s="32" t="s">
        <v>65</v>
      </c>
      <c r="C12" s="33"/>
      <c r="D12" s="34"/>
      <c r="E12" s="35"/>
      <c r="F12" s="35"/>
      <c r="G12" s="36"/>
      <c r="H12" s="36"/>
      <c r="I12" s="36"/>
      <c r="J12" s="35"/>
    </row>
    <row r="13" spans="1:11" x14ac:dyDescent="0.25">
      <c r="B13" s="128"/>
      <c r="C13" s="128"/>
      <c r="D13" s="129" t="s">
        <v>57</v>
      </c>
      <c r="E13" s="129" t="s">
        <v>58</v>
      </c>
      <c r="F13" s="129" t="s">
        <v>59</v>
      </c>
      <c r="G13" s="130" t="s">
        <v>60</v>
      </c>
      <c r="H13" s="130" t="s">
        <v>61</v>
      </c>
      <c r="I13" s="130" t="s">
        <v>74</v>
      </c>
      <c r="J13" s="130" t="s">
        <v>75</v>
      </c>
      <c r="K13" s="131" t="s">
        <v>63</v>
      </c>
    </row>
    <row r="14" spans="1:11" x14ac:dyDescent="0.25">
      <c r="B14" s="156" t="s">
        <v>62</v>
      </c>
      <c r="C14" s="157"/>
      <c r="D14" s="38">
        <f>D4</f>
        <v>9.6572404371584694E-2</v>
      </c>
      <c r="E14" s="38">
        <f t="shared" ref="E14:J14" si="1">E4</f>
        <v>8.5726027397260277E-2</v>
      </c>
      <c r="F14" s="38">
        <f t="shared" si="1"/>
        <v>8.5000000000000006E-2</v>
      </c>
      <c r="G14" s="38">
        <f t="shared" si="1"/>
        <v>9.2987671232876712E-2</v>
      </c>
      <c r="H14" s="38">
        <f t="shared" si="1"/>
        <v>0.10065163934426231</v>
      </c>
      <c r="I14" s="38">
        <f t="shared" si="1"/>
        <v>0.1045</v>
      </c>
      <c r="J14" s="38">
        <f t="shared" si="1"/>
        <v>0.1045</v>
      </c>
      <c r="K14" s="39"/>
    </row>
    <row r="15" spans="1:1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39"/>
    </row>
    <row r="16" spans="1:11" x14ac:dyDescent="0.25">
      <c r="B16" s="42" t="s">
        <v>57</v>
      </c>
      <c r="C16" s="43">
        <f ca="1">'ARR Comparison'!E18</f>
        <v>2.1031321963070226E-2</v>
      </c>
      <c r="D16" s="44"/>
      <c r="E16" s="44"/>
      <c r="F16" s="44"/>
      <c r="G16" s="44">
        <f ca="1">$C16*G$4/2</f>
        <v>9.7782682614737664E-4</v>
      </c>
      <c r="H16" s="44">
        <f t="shared" ref="H16:J18" ca="1" si="2">$C16*H$4</f>
        <v>2.1168370331600072E-3</v>
      </c>
      <c r="I16" s="44">
        <f t="shared" ca="1" si="2"/>
        <v>2.1977731451408387E-3</v>
      </c>
      <c r="J16" s="44">
        <f ca="1">$C16*J$4/2</f>
        <v>1.0988865725704193E-3</v>
      </c>
      <c r="K16" s="45">
        <f ca="1">SUM(D16:J16)</f>
        <v>6.391323577018642E-3</v>
      </c>
    </row>
    <row r="17" spans="2:11" x14ac:dyDescent="0.25">
      <c r="B17" s="42" t="s">
        <v>58</v>
      </c>
      <c r="C17" s="43"/>
      <c r="D17" s="44"/>
      <c r="E17" s="44"/>
      <c r="F17" s="44"/>
      <c r="G17" s="44">
        <f>$C17*G$4/2</f>
        <v>0</v>
      </c>
      <c r="H17" s="44">
        <f t="shared" si="2"/>
        <v>0</v>
      </c>
      <c r="I17" s="44">
        <f t="shared" si="2"/>
        <v>0</v>
      </c>
      <c r="J17" s="44">
        <f t="shared" si="2"/>
        <v>0</v>
      </c>
      <c r="K17" s="45">
        <f>SUM(D17:J17)</f>
        <v>0</v>
      </c>
    </row>
    <row r="18" spans="2:11" x14ac:dyDescent="0.25">
      <c r="B18" s="42" t="s">
        <v>59</v>
      </c>
      <c r="C18" s="43"/>
      <c r="D18" s="44"/>
      <c r="E18" s="44"/>
      <c r="F18" s="44"/>
      <c r="G18" s="44"/>
      <c r="H18" s="44"/>
      <c r="I18" s="44">
        <f>$C18*I$4/2</f>
        <v>0</v>
      </c>
      <c r="J18" s="44">
        <f t="shared" si="2"/>
        <v>0</v>
      </c>
      <c r="K18" s="45">
        <f>SUM(D18:J18)</f>
        <v>0</v>
      </c>
    </row>
    <row r="19" spans="2:11" x14ac:dyDescent="0.25">
      <c r="K19" s="46">
        <f ca="1">SUM(K16:K18)</f>
        <v>6.391323577018642E-3</v>
      </c>
    </row>
  </sheetData>
  <mergeCells count="3">
    <mergeCell ref="B4:C4"/>
    <mergeCell ref="B14:C14"/>
    <mergeCell ref="A1:C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ARR Comparison</vt:lpstr>
      <vt:lpstr>Depreciation</vt:lpstr>
      <vt:lpstr>Interest on Loan</vt:lpstr>
      <vt:lpstr>IoWC</vt:lpstr>
      <vt:lpstr>ROE</vt:lpstr>
      <vt:lpstr>Income Tax</vt:lpstr>
      <vt:lpstr>Incentive</vt:lpstr>
      <vt:lpstr>Carrying Cost</vt:lpstr>
      <vt:lpstr>'ARR Comparison'!Print_Area</vt:lpstr>
      <vt:lpstr>'Carrying Cost'!Print_Area</vt:lpstr>
      <vt:lpstr>Depreciation!Print_Area</vt:lpstr>
      <vt:lpstr>Incentive!Print_Area</vt:lpstr>
      <vt:lpstr>'Income Tax'!Print_Area</vt:lpstr>
      <vt:lpstr>'Interest on Loan'!Print_Area</vt:lpstr>
      <vt:lpstr>IoWC!Print_Area</vt:lpstr>
      <vt:lpstr>ROE!Print_Area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 Desai</dc:creator>
  <cp:lastModifiedBy>Harsh Rana</cp:lastModifiedBy>
  <cp:lastPrinted>2024-10-28T10:25:32Z</cp:lastPrinted>
  <dcterms:created xsi:type="dcterms:W3CDTF">2022-12-07T07:23:23Z</dcterms:created>
  <dcterms:modified xsi:type="dcterms:W3CDTF">2024-11-27T11:28:06Z</dcterms:modified>
</cp:coreProperties>
</file>